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9A8B0A88-C441-4A66-8A0E-3F174AB5F3F3}" xr6:coauthVersionLast="47" xr6:coauthVersionMax="47" xr10:uidLastSave="{00000000-0000-0000-0000-000000000000}"/>
  <workbookProtection workbookAlgorithmName="SHA-512" workbookHashValue="XAXXcd2FkVzvI/MQWw7zVS5Ng1CiSAWKVjJlNa0Pj5LTvkx2LRyMspQ0CHbyT3V8v0d1cEtTHcxF4vqU1q/KJQ==" workbookSaltValue="CKBHsRG/B9PPmB9rLVLW7Q==" workbookSpinCount="100000" lockStructure="1"/>
  <bookViews>
    <workbookView xWindow="28680" yWindow="-120" windowWidth="29040" windowHeight="15720" xr2:uid="{C18D6218-EBE0-4C2B-BD6B-CCFF2BE1A16B}"/>
  </bookViews>
  <sheets>
    <sheet name="Virgini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79" i="1" l="1"/>
  <c r="F14" i="1"/>
  <c r="E14" i="1"/>
  <c r="H79" i="1"/>
  <c r="D79" i="1"/>
  <c r="D81" i="1" s="1"/>
  <c r="C79" i="1"/>
  <c r="C82" i="1" s="1"/>
  <c r="G14" i="1" s="1"/>
  <c r="H66" i="1"/>
  <c r="G66" i="1"/>
  <c r="D66" i="1"/>
  <c r="C66" i="1"/>
  <c r="H65" i="1"/>
  <c r="E9" i="1" s="1"/>
  <c r="H9" i="1" s="1"/>
  <c r="G65" i="1"/>
  <c r="G64" i="1" s="1"/>
  <c r="D65" i="1"/>
  <c r="D64" i="1" s="1"/>
  <c r="C65" i="1"/>
  <c r="C64" i="1"/>
  <c r="C9" i="1" s="1"/>
  <c r="G55" i="1"/>
  <c r="D55" i="1"/>
  <c r="H54" i="1"/>
  <c r="G54" i="1"/>
  <c r="D54" i="1"/>
  <c r="H53" i="1"/>
  <c r="D8" i="1" s="1"/>
  <c r="G53" i="1"/>
  <c r="D53" i="1"/>
  <c r="C53" i="1"/>
  <c r="C54" i="1" s="1"/>
  <c r="D47" i="1"/>
  <c r="C47" i="1"/>
  <c r="H46" i="1"/>
  <c r="D7" i="1" s="1"/>
  <c r="F7" i="1" s="1"/>
  <c r="H7" i="1" s="1"/>
  <c r="G46" i="1"/>
  <c r="G47" i="1" s="1"/>
  <c r="D46" i="1"/>
  <c r="C46" i="1"/>
  <c r="G87" i="1"/>
  <c r="G85" i="1"/>
  <c r="D85" i="1"/>
  <c r="G36" i="1"/>
  <c r="C36" i="1"/>
  <c r="D36" i="1"/>
  <c r="H23" i="1" s="1"/>
  <c r="C85" i="1"/>
  <c r="G13" i="1"/>
  <c r="H13" i="1" s="1"/>
  <c r="D12" i="1"/>
  <c r="H12" i="1" s="1"/>
  <c r="D11" i="1"/>
  <c r="F11" i="1" s="1"/>
  <c r="H11" i="1" s="1"/>
  <c r="D10" i="1"/>
  <c r="E10" i="1" s="1"/>
  <c r="H10" i="1" s="1"/>
  <c r="F9" i="1"/>
  <c r="C6" i="1"/>
  <c r="H36" i="1" l="1"/>
  <c r="D6" i="1" s="1"/>
  <c r="D15" i="1" s="1"/>
  <c r="H87" i="1"/>
  <c r="M7" i="1" s="1"/>
  <c r="H85" i="1"/>
  <c r="N7" i="1"/>
  <c r="O7" i="1" s="1"/>
  <c r="D84" i="1"/>
  <c r="G86" i="1"/>
  <c r="G84" i="1" s="1"/>
  <c r="H14" i="1"/>
  <c r="C55" i="1"/>
  <c r="D86" i="1"/>
  <c r="G15" i="1"/>
  <c r="H47" i="1"/>
  <c r="C8" i="1"/>
  <c r="C14" i="1"/>
  <c r="C15" i="1" s="1"/>
  <c r="H55" i="1"/>
  <c r="C87" i="1"/>
  <c r="D87" i="1"/>
  <c r="H64" i="1"/>
  <c r="D9" i="1" s="1"/>
  <c r="F8" i="1" l="1"/>
  <c r="E8" i="1"/>
  <c r="H8" i="1" s="1"/>
  <c r="M5" i="1"/>
  <c r="N5" i="1" s="1"/>
  <c r="O5" i="1" s="1"/>
  <c r="H86" i="1"/>
  <c r="M6" i="1" s="1"/>
  <c r="N6" i="1" s="1"/>
  <c r="O6" i="1" s="1"/>
  <c r="F15" i="1"/>
  <c r="C86" i="1"/>
  <c r="C84" i="1" s="1"/>
  <c r="E15" i="1" l="1"/>
  <c r="H6" i="1"/>
  <c r="H15" i="1" s="1"/>
  <c r="M10" i="1"/>
  <c r="H84" i="1"/>
  <c r="M11" i="1" s="1"/>
  <c r="P10" i="1" s="1"/>
  <c r="P11" i="1" s="1"/>
</calcChain>
</file>

<file path=xl/sharedStrings.xml><?xml version="1.0" encoding="utf-8"?>
<sst xmlns="http://schemas.openxmlformats.org/spreadsheetml/2006/main" count="145" uniqueCount="91">
  <si>
    <t>Virginia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</si>
  <si>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</si>
  <si>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</si>
  <si>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</si>
  <si>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</si>
  <si>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</si>
  <si>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</si>
  <si>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</si>
  <si>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</si>
  <si>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</si>
  <si>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</si>
  <si>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</si>
  <si>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</si>
  <si>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</si>
  <si>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</si>
  <si>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</si>
  <si>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</si>
  <si>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</si>
  <si>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</si>
  <si>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</si>
  <si>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</si>
  <si>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</si>
  <si>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</si>
  <si>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</si>
  <si>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</si>
  <si>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</si>
  <si>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</si>
  <si>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</si>
  <si>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</si>
  <si>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</si>
  <si>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</si>
  <si>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</si>
  <si>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</si>
  <si>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</si>
  <si>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</si>
  <si>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</si>
  <si>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</si>
  <si>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</si>
  <si>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</si>
  <si>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</si>
  <si>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</si>
  <si>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</si>
  <si>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Subsidy Program</t>
  </si>
  <si>
    <t>CCDF State Match and MOE</t>
  </si>
  <si>
    <t>CCDF and TANF State Remainder</t>
  </si>
  <si>
    <t>SSBG</t>
  </si>
  <si>
    <t>TANF Federal - Child Care</t>
  </si>
  <si>
    <t>TANF State MOE - Child Care</t>
  </si>
  <si>
    <r>
      <t>State Preschool (NIEER)</t>
    </r>
    <r>
      <rPr>
        <vertAlign val="superscript"/>
        <sz val="11"/>
        <color rgb="FF000000"/>
        <rFont val="Aptos Narrow"/>
        <family val="2"/>
        <scheme val="minor"/>
      </rPr>
      <t>5</t>
    </r>
  </si>
  <si>
    <t>Virginia Preschool Initiative (NIEER)</t>
  </si>
  <si>
    <t>Mixed Delivery Grant Program (NIEER)</t>
  </si>
  <si>
    <t>Homevisiting</t>
  </si>
  <si>
    <t>Homevisiting/Parent Education</t>
  </si>
  <si>
    <t>MIECHV</t>
  </si>
  <si>
    <t>Healthy Start</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</si>
  <si>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</si>
  <si>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</si>
  <si>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</si>
  <si>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</si>
  <si>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</si>
  <si>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</si>
  <si>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</si>
  <si>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</si>
  <si>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</si>
  <si>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</si>
  <si>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</si>
  <si>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</si>
  <si>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</si>
  <si>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</si>
  <si>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</si>
  <si>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</si>
  <si>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</si>
  <si>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</si>
  <si>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</si>
  <si>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</si>
  <si>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</si>
  <si>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https://sfac.virginia.gov/pdf/education/2024/01182024_No1_Early%20Childhood%20Care%20and%20Education_VDOE.pdf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</si>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</sst>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Virginia!$L$4</c:f>
              <c:strCache>
                <c:ptCount val="1"/>
                <c:pt idx="0">
                  <c:v>Federal Dollars</c:v>
                </c:pt>
              </c:strCache>
            </c:strRef>
          </c:tx>
          <c:spPr>
            <a:solidFill>
              <a:srgbClr val="70CEB4">
                <a:lumMod val="50000"/>
              </a:srgbClr>
            </a:solidFill>
            <a:ln>
              <a:noFill/>
            </a:ln>
            <a:effectLst/>
          </c:spPr>
          <c:invertIfNegative val="0"/>
          <c:cat>
            <c:strRef>
              <c:f>Virginia!$K$5:$K$7</c:f>
              <c:strCache>
                <c:ptCount val="3"/>
                <c:pt idx="0">
                  <c:v>0 to 3</c:v>
                </c:pt>
                <c:pt idx="1">
                  <c:v>3 to 5.5</c:v>
                </c:pt>
                <c:pt idx="2">
                  <c:v>K - 12</c:v>
                </c:pt>
              </c:strCache>
            </c:strRef>
          </c:cat>
          <c:val>
            <c:numRef>
              <c:f>Virginia!$L$5:$L$7</c:f>
              <c:numCache>
                <c:formatCode>_("$"* #,##0_);_("$"* \(#,##0\);_("$"* "-"??_);_(@_)</c:formatCode>
                <c:ptCount val="3"/>
                <c:pt idx="0">
                  <c:v>926.34299432865078</c:v>
                </c:pt>
                <c:pt idx="1">
                  <c:v>1157.7024205874786</c:v>
                </c:pt>
                <c:pt idx="2">
                  <c:v>1537.3821082618235</c:v>
                </c:pt>
              </c:numCache>
            </c:numRef>
          </c:val>
          <c:extLst>
            <c:ext xmlns:c16="http://schemas.microsoft.com/office/drawing/2014/chart" uri="{C3380CC4-5D6E-409C-BE32-E72D297353CC}">
              <c16:uniqueId val="{00000000-D17F-4ED9-9B62-8A661C314809}"/>
            </c:ext>
          </c:extLst>
        </c:ser>
        <c:ser>
          <c:idx val="1"/>
          <c:order val="1"/>
          <c:tx>
            <c:strRef>
              <c:f>Virginia!$M$4</c:f>
              <c:strCache>
                <c:ptCount val="1"/>
                <c:pt idx="0">
                  <c:v>State and Local Dollars</c:v>
                </c:pt>
              </c:strCache>
            </c:strRef>
          </c:tx>
          <c:spPr>
            <a:solidFill>
              <a:srgbClr val="42B4E5">
                <a:lumMod val="40000"/>
                <a:lumOff val="60000"/>
              </a:srgbClr>
            </a:solidFill>
            <a:ln>
              <a:noFill/>
            </a:ln>
            <a:effectLst/>
          </c:spPr>
          <c:invertIfNegative val="0"/>
          <c:cat>
            <c:strRef>
              <c:f>Virginia!$K$5:$K$7</c:f>
              <c:strCache>
                <c:ptCount val="3"/>
                <c:pt idx="0">
                  <c:v>0 to 3</c:v>
                </c:pt>
                <c:pt idx="1">
                  <c:v>3 to 5.5</c:v>
                </c:pt>
                <c:pt idx="2">
                  <c:v>K - 12</c:v>
                </c:pt>
              </c:strCache>
            </c:strRef>
          </c:cat>
          <c:val>
            <c:numRef>
              <c:f>Virginia!$M$5:$M$7</c:f>
              <c:numCache>
                <c:formatCode>_("$"* #,##0_);_("$"* \(#,##0\);_("$"* "-"??_);_(@_)</c:formatCode>
                <c:ptCount val="3"/>
                <c:pt idx="0">
                  <c:v>227.9888819234466</c:v>
                </c:pt>
                <c:pt idx="1">
                  <c:v>742.79063850401053</c:v>
                </c:pt>
                <c:pt idx="2">
                  <c:v>13649.601058523589</c:v>
                </c:pt>
              </c:numCache>
            </c:numRef>
          </c:val>
          <c:extLst>
            <c:ext xmlns:c16="http://schemas.microsoft.com/office/drawing/2014/chart" uri="{C3380CC4-5D6E-409C-BE32-E72D297353CC}">
              <c16:uniqueId val="{00000001-D17F-4ED9-9B62-8A661C314809}"/>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Virginia!$N$5:$N$7</c:f>
              <c:numCache>
                <c:formatCode>_("$"* #,##0_);_("$"* \(#,##0\);_("$"* "-"??_);_(@_)</c:formatCode>
                <c:ptCount val="3"/>
                <c:pt idx="0">
                  <c:v>1154.3318762520973</c:v>
                </c:pt>
                <c:pt idx="1">
                  <c:v>1900.4930590914892</c:v>
                </c:pt>
                <c:pt idx="2">
                  <c:v>15186.983166785412</c:v>
                </c:pt>
              </c:numCache>
            </c:numRef>
          </c:val>
          <c:smooth val="0"/>
          <c:extLst>
            <c:ext xmlns:c16="http://schemas.microsoft.com/office/drawing/2014/chart" uri="{C3380CC4-5D6E-409C-BE32-E72D297353CC}">
              <c16:uniqueId val="{00000002-D17F-4ED9-9B62-8A661C314809}"/>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85F7DBD9-29D5-41B2-BA89-8746FE6B6E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3A4DE-3F6D-4000-8059-9D3A74CF1139}">
  <sheetPr codeName="Sheet47">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926.34299432865078</v>
      </c>
      <c r="M5" s="38">
        <f>H85/P5</f>
        <v>227.9888819234466</v>
      </c>
      <c r="N5" s="38">
        <f>SUM(L5:M5)</f>
        <v>1154.3318762520973</v>
      </c>
      <c r="O5" s="39">
        <f>N5/N7</f>
        <v>7.6007977593382139E-2</v>
      </c>
      <c r="P5" s="40">
        <v>272803</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246137753</v>
      </c>
      <c r="D6" s="38">
        <f>H36</f>
        <v>84150402</v>
      </c>
      <c r="E6" s="38">
        <v>126707590.18497324</v>
      </c>
      <c r="F6" s="38">
        <v>119332666.92862692</v>
      </c>
      <c r="G6" s="43">
        <v>84247897.886399806</v>
      </c>
      <c r="H6" s="44">
        <f>SUM(E6:G6)</f>
        <v>330288155</v>
      </c>
      <c r="I6" s="7"/>
      <c r="J6" s="7"/>
      <c r="K6" s="37" t="s">
        <v>16</v>
      </c>
      <c r="L6" s="38">
        <v>1157.7024205874786</v>
      </c>
      <c r="M6" s="38">
        <f>H86/P6</f>
        <v>742.79063850401053</v>
      </c>
      <c r="N6" s="38">
        <f t="shared" ref="N6" si="0">SUM(L6:M6)</f>
        <v>1900.4930590914892</v>
      </c>
      <c r="O6" s="39">
        <f>N6/N7</f>
        <v>0.12513960397664425</v>
      </c>
      <c r="P6" s="40">
        <v>246835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152943300</v>
      </c>
      <c r="E7" s="38">
        <v>0</v>
      </c>
      <c r="F7" s="38">
        <f>D7</f>
        <v>152943300</v>
      </c>
      <c r="G7" s="45">
        <v>0</v>
      </c>
      <c r="H7" s="44">
        <f t="shared" ref="H7:H14" si="1">SUM(E7:G7)</f>
        <v>152943300</v>
      </c>
      <c r="I7" s="7"/>
      <c r="J7" s="7"/>
      <c r="K7" s="46" t="s">
        <v>17</v>
      </c>
      <c r="L7" s="47">
        <v>1537.3821082618235</v>
      </c>
      <c r="M7" s="47">
        <f>(H87+D13)/P7</f>
        <v>13649.601058523589</v>
      </c>
      <c r="N7" s="47">
        <f>SUM(L7:M7)</f>
        <v>15186.983166785412</v>
      </c>
      <c r="O7" s="48">
        <f>N7/N7</f>
        <v>1</v>
      </c>
      <c r="P7" s="49">
        <v>1415777</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10712776</v>
      </c>
      <c r="D8" s="38">
        <f>H53</f>
        <v>0</v>
      </c>
      <c r="E8" s="38">
        <f>(C8+D8)*0.86</f>
        <v>9212987.3599999994</v>
      </c>
      <c r="F8" s="38">
        <f>(C8+D8)*0.14</f>
        <v>1499788.6400000001</v>
      </c>
      <c r="G8" s="45">
        <v>0</v>
      </c>
      <c r="H8" s="44">
        <f t="shared" si="1"/>
        <v>10712776</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23165846</v>
      </c>
      <c r="D9" s="38">
        <f>H64</f>
        <v>29913650</v>
      </c>
      <c r="E9" s="38">
        <f>C65+H65</f>
        <v>42972278</v>
      </c>
      <c r="F9" s="38">
        <f>C66+H66</f>
        <v>10107218</v>
      </c>
      <c r="G9" s="45">
        <v>0</v>
      </c>
      <c r="H9" s="44">
        <f t="shared" si="1"/>
        <v>53079496</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760151169.00332177</v>
      </c>
      <c r="N10" s="57" t="s">
        <v>26</v>
      </c>
      <c r="O10" s="58"/>
      <c r="P10" s="59">
        <f>M11-M10</f>
        <v>27513650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787664819.00332177</v>
      </c>
      <c r="N11" s="63" t="s">
        <v>29</v>
      </c>
      <c r="O11" s="64"/>
      <c r="P11" s="65">
        <f>P10/M10</f>
        <v>3.6194971634490467E-2</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2078343035.9561493</v>
      </c>
      <c r="D13" s="66">
        <v>19303326664.04385</v>
      </c>
      <c r="E13" s="66">
        <v>0</v>
      </c>
      <c r="F13" s="66">
        <v>0</v>
      </c>
      <c r="G13" s="67">
        <f>C13+D13</f>
        <v>21381669700</v>
      </c>
      <c r="H13" s="44">
        <f t="shared" si="1"/>
        <v>21381669700</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359377443</v>
      </c>
      <c r="D14" s="70">
        <v>0</v>
      </c>
      <c r="E14" s="70">
        <f>C80</f>
        <v>138230252.77401644</v>
      </c>
      <c r="F14" s="70">
        <f>C81</f>
        <v>186658737.11570519</v>
      </c>
      <c r="G14" s="71">
        <f>C82</f>
        <v>34488453.110278368</v>
      </c>
      <c r="H14" s="44">
        <f t="shared" si="1"/>
        <v>359377443</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2717736853.9561491</v>
      </c>
      <c r="D15" s="74">
        <f>SUM(D6:D14)</f>
        <v>19570334016.04385</v>
      </c>
      <c r="E15" s="74">
        <f>SUM(E6:E14)</f>
        <v>317123108.31898969</v>
      </c>
      <c r="F15" s="74">
        <f>SUM(F6:F14)</f>
        <v>470541710.68433207</v>
      </c>
      <c r="G15" s="75">
        <f>SUM(G6:G14)</f>
        <v>21500406050.996677</v>
      </c>
      <c r="H15" s="76">
        <f>IF(SUM(H6:H14)=C15+D15, SUM(H6:H14), "Sums Do Not Match")</f>
        <v>22288070870</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245785055</v>
      </c>
      <c r="D22" s="105"/>
      <c r="E22" s="106" t="s">
        <v>42</v>
      </c>
      <c r="F22" s="107"/>
      <c r="G22" s="108">
        <v>353228568</v>
      </c>
      <c r="H22" s="109">
        <v>26707352</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73657238</v>
      </c>
      <c r="E23" s="114" t="s">
        <v>44</v>
      </c>
      <c r="F23" s="115"/>
      <c r="G23" s="116"/>
      <c r="H23" s="117">
        <f>D36-H22</f>
        <v>57443050</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c r="F24" s="122"/>
      <c r="G24" s="116"/>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46</v>
      </c>
      <c r="B25" s="119"/>
      <c r="C25" s="120">
        <v>352698</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47</v>
      </c>
      <c r="B26" s="119"/>
      <c r="C26" s="125"/>
      <c r="D26" s="126">
        <v>10493164</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246137753</v>
      </c>
      <c r="D36" s="143">
        <f>SUM(D22:D35)</f>
        <v>84150402</v>
      </c>
      <c r="E36" s="144" t="s">
        <v>18</v>
      </c>
      <c r="F36" s="145"/>
      <c r="G36" s="146">
        <f>SUM(G22:G35)</f>
        <v>353228568</v>
      </c>
      <c r="H36" s="147">
        <f>SUM(H22:H35)</f>
        <v>84150402</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94425189.229611248</v>
      </c>
      <c r="D37" s="151">
        <v>32282400.955362</v>
      </c>
      <c r="E37" s="152" t="s">
        <v>15</v>
      </c>
      <c r="F37" s="150"/>
      <c r="G37" s="153">
        <v>135508161.45910215</v>
      </c>
      <c r="H37" s="154">
        <v>32282400.955362</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88929239.673489481</v>
      </c>
      <c r="D38" s="151">
        <v>30403427.255137447</v>
      </c>
      <c r="E38" s="152" t="s">
        <v>16</v>
      </c>
      <c r="F38" s="150"/>
      <c r="G38" s="153">
        <v>127621007.34378394</v>
      </c>
      <c r="H38" s="154">
        <v>30403427.255137447</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62783324.096899264</v>
      </c>
      <c r="D39" s="151">
        <v>21464573.789500549</v>
      </c>
      <c r="E39" s="152" t="s">
        <v>17</v>
      </c>
      <c r="F39" s="150"/>
      <c r="G39" s="153">
        <v>90099399.197113901</v>
      </c>
      <c r="H39" s="154">
        <v>21464573.789500549</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48</v>
      </c>
      <c r="B41" s="158"/>
      <c r="C41" s="159"/>
      <c r="D41" s="160">
        <v>152943300</v>
      </c>
      <c r="E41" s="161" t="s">
        <v>49</v>
      </c>
      <c r="F41" s="162"/>
      <c r="G41" s="108"/>
      <c r="H41" s="163">
        <v>121827978</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50</v>
      </c>
      <c r="F42" s="169"/>
      <c r="G42" s="170"/>
      <c r="H42" s="171">
        <v>31115322</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152943300</v>
      </c>
      <c r="E46" s="144" t="s">
        <v>18</v>
      </c>
      <c r="F46" s="145"/>
      <c r="G46" s="146">
        <f>SUM(G41:G45)</f>
        <v>0</v>
      </c>
      <c r="H46" s="147">
        <f>SUM($H$41:$H$45)</f>
        <v>152943300</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152943300</v>
      </c>
      <c r="E47" s="152" t="s">
        <v>16</v>
      </c>
      <c r="F47" s="150"/>
      <c r="G47" s="153">
        <f>G46</f>
        <v>0</v>
      </c>
      <c r="H47" s="190">
        <f>H46</f>
        <v>152943300</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51</v>
      </c>
      <c r="B48" s="192"/>
      <c r="C48" s="192"/>
      <c r="D48" s="193"/>
      <c r="E48" s="156" t="s">
        <v>52</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53</v>
      </c>
      <c r="B49" s="195"/>
      <c r="C49" s="112">
        <v>10208699</v>
      </c>
      <c r="D49" s="196"/>
      <c r="E49" s="197" t="s">
        <v>54</v>
      </c>
      <c r="F49" s="198"/>
      <c r="G49" s="199">
        <v>922826.31</v>
      </c>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55</v>
      </c>
      <c r="B50" s="202"/>
      <c r="C50" s="120">
        <v>504077</v>
      </c>
      <c r="D50" s="121"/>
      <c r="E50" s="203" t="s">
        <v>53</v>
      </c>
      <c r="F50" s="204"/>
      <c r="G50" s="116">
        <v>7567028.9800000004</v>
      </c>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56</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10712776</v>
      </c>
      <c r="D53" s="143">
        <f>SUM($D$49:$D$52)</f>
        <v>0</v>
      </c>
      <c r="E53" s="144" t="s">
        <v>18</v>
      </c>
      <c r="F53" s="145"/>
      <c r="G53" s="146">
        <f>SUM($G$49:$G$52)</f>
        <v>8489855.290000001</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9212987.3599999994</v>
      </c>
      <c r="D54" s="189">
        <f>D$53*0.86</f>
        <v>0</v>
      </c>
      <c r="E54" s="152" t="s">
        <v>15</v>
      </c>
      <c r="F54" s="150"/>
      <c r="G54" s="153">
        <f>G$53*0.86</f>
        <v>7301275.5494000008</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1499788.6400000001</v>
      </c>
      <c r="D55" s="189">
        <f>D$53*0.14</f>
        <v>0</v>
      </c>
      <c r="E55" s="152" t="s">
        <v>16</v>
      </c>
      <c r="F55" s="150"/>
      <c r="G55" s="153">
        <f>G$53*0.14</f>
        <v>1188579.7406000001</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57</v>
      </c>
      <c r="B56" s="97"/>
      <c r="C56" s="97"/>
      <c r="D56" s="155"/>
      <c r="E56" s="156" t="s">
        <v>58</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57</v>
      </c>
      <c r="B57" s="213"/>
      <c r="C57" s="112">
        <v>13058628</v>
      </c>
      <c r="D57" s="196"/>
      <c r="E57" s="197" t="s">
        <v>58</v>
      </c>
      <c r="F57" s="198"/>
      <c r="G57" s="108">
        <v>9835924</v>
      </c>
      <c r="H57" s="109">
        <v>29913650</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59</v>
      </c>
      <c r="B60" s="97"/>
      <c r="C60" s="97"/>
      <c r="D60" s="155"/>
      <c r="E60" s="156" t="s">
        <v>60</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59</v>
      </c>
      <c r="B61" s="213"/>
      <c r="C61" s="217">
        <v>10107218</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23165846</v>
      </c>
      <c r="D64" s="223">
        <f>SUM($D$65:$D$66)</f>
        <v>0</v>
      </c>
      <c r="E64" s="144" t="s">
        <v>18</v>
      </c>
      <c r="F64" s="145"/>
      <c r="G64" s="224">
        <f>SUM(G65:G66)</f>
        <v>9835924</v>
      </c>
      <c r="H64" s="147">
        <f>SUM(H65:H66)</f>
        <v>29913650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13058628</v>
      </c>
      <c r="D65" s="225">
        <f>SUM($D$57:$D$59)</f>
        <v>0</v>
      </c>
      <c r="E65" s="152" t="s">
        <v>15</v>
      </c>
      <c r="F65" s="150"/>
      <c r="G65" s="225">
        <f>SUM(G57:G59)</f>
        <v>9835924</v>
      </c>
      <c r="H65" s="190">
        <f>SUM(H57:H59)</f>
        <v>29913650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10107218</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61</v>
      </c>
      <c r="B67" s="97"/>
      <c r="C67" s="97"/>
      <c r="D67" s="155"/>
      <c r="E67" s="156" t="s">
        <v>62</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63</v>
      </c>
      <c r="B68" s="213"/>
      <c r="C68" s="112">
        <v>65851867</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64</v>
      </c>
      <c r="B69" s="202"/>
      <c r="C69" s="120">
        <v>118613343</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65</v>
      </c>
      <c r="B70" s="202"/>
      <c r="C70" s="120">
        <v>8000000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66</v>
      </c>
      <c r="B71" s="202"/>
      <c r="C71" s="228">
        <v>108578000</v>
      </c>
      <c r="D71" s="121"/>
      <c r="E71" s="156" t="s">
        <v>67</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68</v>
      </c>
      <c r="B72" s="202"/>
      <c r="C72" s="112">
        <v>56111500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69</v>
      </c>
      <c r="B73" s="111"/>
      <c r="C73" s="125">
        <v>2222733.0000000005</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70</v>
      </c>
      <c r="B74" s="202"/>
      <c r="C74" s="125"/>
      <c r="D74" s="229">
        <v>2400000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71</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359377443</v>
      </c>
      <c r="D79" s="238">
        <f>SUM(D68:D78)</f>
        <v>2400000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138230252.77401644</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186658737.11570519</v>
      </c>
      <c r="D81" s="242">
        <f>D79</f>
        <v>2400000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72</v>
      </c>
      <c r="B82" s="241"/>
      <c r="C82" s="242">
        <f>C79-SUM(C80:C81)</f>
        <v>34488453.110278368</v>
      </c>
      <c r="D82" s="242">
        <v>0</v>
      </c>
      <c r="E82" s="244" t="s">
        <v>72</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73</v>
      </c>
      <c r="B83" s="249"/>
      <c r="C83" s="250" t="s">
        <v>37</v>
      </c>
      <c r="D83" s="250" t="s">
        <v>38</v>
      </c>
      <c r="E83" s="251" t="s">
        <v>74</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542122040.79282236</v>
      </c>
      <c r="D84" s="258">
        <f>SUM(D85:D86)</f>
        <v>218029128.21049944</v>
      </c>
      <c r="E84" s="259"/>
      <c r="F84" s="260"/>
      <c r="G84" s="261">
        <f>SUM(G85:G86)</f>
        <v>281454948.09288609</v>
      </c>
      <c r="H84" s="262">
        <f>SUM(H85:H86)</f>
        <v>245542778.21049944</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254927057.36362767</v>
      </c>
      <c r="D85" s="189">
        <f>SUM(D37,D54,D65,D80)</f>
        <v>32282400.955362</v>
      </c>
      <c r="E85" s="265" t="s">
        <v>15</v>
      </c>
      <c r="F85" s="266"/>
      <c r="G85" s="153">
        <f>SUM(G37,G54,G65,G80)</f>
        <v>152645361.00850216</v>
      </c>
      <c r="H85" s="267">
        <f>SUM(H37,H54,H65,H80)</f>
        <v>62196050.955362</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287194983.42919469</v>
      </c>
      <c r="D86" s="151">
        <f>SUM(D38,D47,D55,D66,D81)</f>
        <v>185746727.25513744</v>
      </c>
      <c r="E86" s="152" t="s">
        <v>16</v>
      </c>
      <c r="F86" s="150"/>
      <c r="G86" s="153">
        <f>SUM(G38,G47,G55,G66,G81)</f>
        <v>128809587.08438395</v>
      </c>
      <c r="H86" s="154">
        <f>SUM(H38,H47,H55,H66,H81)</f>
        <v>183346727.25513744</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72</v>
      </c>
      <c r="B87" s="270"/>
      <c r="C87" s="271">
        <f>SUM(C39,C82)</f>
        <v>97271777.207177639</v>
      </c>
      <c r="D87" s="271">
        <f>SUM(D39)</f>
        <v>21464573.789500549</v>
      </c>
      <c r="E87" s="272" t="s">
        <v>72</v>
      </c>
      <c r="F87" s="270"/>
      <c r="G87" s="271">
        <f>SUM(G39)</f>
        <v>90099399.197113901</v>
      </c>
      <c r="H87" s="273">
        <f>SUM(H39)</f>
        <v>21464573.789500549</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75</v>
      </c>
      <c r="B88" s="275" t="s">
        <v>76</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77</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78</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79</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80</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81</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82</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83</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84</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85</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86</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87</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88</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89</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90</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m0bHLth5xA+scCSb1xR1U56uagoK4iZQil8oMB+J/QXkXEN+7RgXF9bRQr2Bx7nZRjEfcMpqU02VK23xLEu62A==" saltValue="3LievHcWetBFWS6/JADDWg=="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CC70257D-9195-4E05-BEF7-A07843E3F56C}"/>
    <hyperlink ref="B101" r:id="rId2" location="Fiscal:1,Page:1" xr:uid="{78F727EF-E40A-4E5C-90EF-F1913D833A89}"/>
    <hyperlink ref="A2" location="Index!A1" display="Back to Index" xr:uid="{7FD53371-BD0E-4923-AA20-54D428F59DF1}"/>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D5494D2A-2F48-47FE-9D71-10967DCDD4E2}"/>
</file>

<file path=customXml/itemProps2.xml><?xml version="1.0" encoding="utf-8"?>
<ds:datastoreItem xmlns:ds="http://schemas.openxmlformats.org/officeDocument/2006/customXml" ds:itemID="{35C866D8-3090-4BA8-BBD0-6C4DD633397D}"/>
</file>

<file path=customXml/itemProps3.xml><?xml version="1.0" encoding="utf-8"?>
<ds:datastoreItem xmlns:ds="http://schemas.openxmlformats.org/officeDocument/2006/customXml" ds:itemID="{BD6F266B-4DE2-4FB5-9B3D-6DA10298DE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Virginia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2026-09-28T16:06:25Z</dcterms:created>
  <dcterms:modified xsi:type="dcterms:W3CDTF">2026-09-28T16:06:25Z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