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6CCB0F6B-D65B-4015-80EF-1E328A6BF337}" xr6:coauthVersionLast="47" xr6:coauthVersionMax="47" xr10:uidLastSave="{00000000-0000-0000-0000-000000000000}"/>
  <workbookProtection workbookAlgorithmName="SHA-512" workbookHashValue="JvLSevZtQ+wiS2kps7EBV1oHshlfuC5PQTiMCgHfLGTeo+IAl6DIIC+Jn0oQgSVQAj4MgOh9hnEIhyk7m6Rztg==" workbookSaltValue="r5EXi+2GeX03FS+R73OvBw==" workbookSpinCount="100000" lockStructure="1"/>
  <bookViews>
    <workbookView xWindow="28680" yWindow="-120" windowWidth="29040" windowHeight="15720" xr2:uid="{31AFD580-05A1-445A-BF33-AA39D5FCC3B8}"/>
  </bookViews>
  <sheets>
    <sheet name="Massachuset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81" i="1" l="1"/>
  <c r="E14" i="1"/>
  <c r="H79" i="1"/>
  <c r="G79" i="1"/>
  <c r="D79" i="1"/>
  <c r="F14" i="1"/>
  <c r="C79" i="1"/>
  <c r="H66" i="1"/>
  <c r="G66" i="1"/>
  <c r="G64" i="1" s="1"/>
  <c r="D66" i="1"/>
  <c r="C66" i="1"/>
  <c r="F9" i="1" s="1"/>
  <c r="H65" i="1"/>
  <c r="H64" i="1" s="1"/>
  <c r="D9" i="1" s="1"/>
  <c r="G65" i="1"/>
  <c r="D65" i="1"/>
  <c r="D64" i="1" s="1"/>
  <c r="C65" i="1"/>
  <c r="H55" i="1"/>
  <c r="G55" i="1"/>
  <c r="H54" i="1"/>
  <c r="H53" i="1"/>
  <c r="G53" i="1"/>
  <c r="G54" i="1" s="1"/>
  <c r="G85" i="1" s="1"/>
  <c r="D53" i="1"/>
  <c r="C53" i="1"/>
  <c r="H47" i="1"/>
  <c r="G47" i="1"/>
  <c r="C47" i="1"/>
  <c r="H46" i="1"/>
  <c r="D7" i="1" s="1"/>
  <c r="F7" i="1" s="1"/>
  <c r="H7" i="1" s="1"/>
  <c r="G46" i="1"/>
  <c r="C46" i="1"/>
  <c r="D46" i="1"/>
  <c r="D47" i="1" s="1"/>
  <c r="H87" i="1"/>
  <c r="M7" i="1" s="1"/>
  <c r="G87" i="1"/>
  <c r="H86" i="1"/>
  <c r="M6" i="1" s="1"/>
  <c r="G86" i="1"/>
  <c r="H85" i="1"/>
  <c r="H36" i="1"/>
  <c r="G36" i="1"/>
  <c r="D87" i="1"/>
  <c r="G13" i="1"/>
  <c r="H13" i="1" s="1"/>
  <c r="H12" i="1"/>
  <c r="D12" i="1"/>
  <c r="D11" i="1"/>
  <c r="F11" i="1" s="1"/>
  <c r="H11" i="1" s="1"/>
  <c r="D10" i="1"/>
  <c r="E10" i="1" s="1"/>
  <c r="H10" i="1" s="1"/>
  <c r="D8" i="1"/>
  <c r="N6" i="1"/>
  <c r="D6" i="1"/>
  <c r="D15" i="1" s="1"/>
  <c r="C85" i="1" l="1"/>
  <c r="C84" i="1" s="1"/>
  <c r="C64" i="1"/>
  <c r="C9" i="1" s="1"/>
  <c r="E9" i="1"/>
  <c r="H9" i="1" s="1"/>
  <c r="N7" i="1"/>
  <c r="O7" i="1" s="1"/>
  <c r="H14" i="1"/>
  <c r="M5" i="1"/>
  <c r="N5" i="1" s="1"/>
  <c r="O5" i="1" s="1"/>
  <c r="H84" i="1"/>
  <c r="C54" i="1"/>
  <c r="C8" i="1"/>
  <c r="C55" i="1"/>
  <c r="C86" i="1"/>
  <c r="D55" i="1"/>
  <c r="D86" i="1" s="1"/>
  <c r="D54" i="1"/>
  <c r="G84" i="1"/>
  <c r="C82" i="1"/>
  <c r="G14" i="1" s="1"/>
  <c r="C14" i="1"/>
  <c r="C36" i="1"/>
  <c r="C6" i="1" s="1"/>
  <c r="D36" i="1"/>
  <c r="C87" i="1"/>
  <c r="M11" i="1" l="1"/>
  <c r="M10" i="1"/>
  <c r="E8" i="1"/>
  <c r="F8" i="1"/>
  <c r="D85" i="1"/>
  <c r="D84" i="1" s="1"/>
  <c r="C15" i="1"/>
  <c r="G15" i="1"/>
  <c r="F15" i="1"/>
  <c r="O6" i="1"/>
  <c r="E15" i="1" l="1"/>
  <c r="H6" i="1"/>
  <c r="H8" i="1"/>
  <c r="H15" i="1"/>
  <c r="P10" i="1"/>
  <c r="P11" i="1" s="1"/>
</calcChain>
</file>

<file path=xl/sharedStrings.xml><?xml version="1.0" encoding="utf-8"?>
<sst xmlns="http://schemas.openxmlformats.org/spreadsheetml/2006/main" count="158" uniqueCount="106">
  <si>
    <t>Massachusetts</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</si>
  <si>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</si>
  <si>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</si>
  <si>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</si>
  <si>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</si>
  <si>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</si>
  <si>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</si>
  <si>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</si>
  <si>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</si>
  <si>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</si>
  <si>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</si>
  <si>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</si>
  <si>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</si>
  <si>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</si>
  <si>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</si>
  <si>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</si>
  <si>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</si>
  <si>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</si>
  <si>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</si>
  <si>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</si>
  <si>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</si>
  <si>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</si>
  <si>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</si>
  <si>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</si>
  <si>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</si>
  <si>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</si>
  <si>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</si>
  <si>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</si>
  <si>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</si>
  <si>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</si>
  <si>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</si>
  <si>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</si>
  <si>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</si>
  <si>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</si>
  <si>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</si>
  <si>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</si>
  <si>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</si>
  <si>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</si>
  <si>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</si>
  <si>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</si>
  <si>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</si>
  <si>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</si>
  <si>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Department of Early Education and Care</t>
  </si>
  <si>
    <t>CCDF State Match and MOE</t>
  </si>
  <si>
    <t>DCF and DTA Related Child Care</t>
  </si>
  <si>
    <t>SSBG</t>
  </si>
  <si>
    <t>Income-Eligible Child Care</t>
  </si>
  <si>
    <t>TANF Federal - Child Care</t>
  </si>
  <si>
    <t>Access Management</t>
  </si>
  <si>
    <t>TANF State MOE - Child Care</t>
  </si>
  <si>
    <t>EEC Infrastructure   Policy Reforms</t>
  </si>
  <si>
    <t>C3 Grants</t>
  </si>
  <si>
    <t>Quality Improvement</t>
  </si>
  <si>
    <t>EEC Provider Higher Education Opportunities</t>
  </si>
  <si>
    <t>Income-Eligible Waitlist</t>
  </si>
  <si>
    <t>Early Education &amp; Care Provider Capital</t>
  </si>
  <si>
    <r>
      <t>State Preschool (NIEER)</t>
    </r>
    <r>
      <rPr>
        <vertAlign val="superscript"/>
        <sz val="11"/>
        <color rgb="FF000000"/>
        <rFont val="Aptos Narrow"/>
        <family val="2"/>
        <scheme val="minor"/>
      </rPr>
      <t>5</t>
    </r>
  </si>
  <si>
    <t>Commonwealth Preschool Partnerships Initiative</t>
  </si>
  <si>
    <t>Massachusetts Chapter 70 (NIEER)</t>
  </si>
  <si>
    <t>Homevisiting</t>
  </si>
  <si>
    <t>Homevisiting/Parent Education</t>
  </si>
  <si>
    <t>MIECHV</t>
  </si>
  <si>
    <t>Family and Community Engagement Services</t>
  </si>
  <si>
    <t>TANF Federal - Home Visiting</t>
  </si>
  <si>
    <t>Parent-Child Plus Program</t>
  </si>
  <si>
    <t>TANF State MOE - Home Visiting</t>
  </si>
  <si>
    <t>Reach Out and Read</t>
  </si>
  <si>
    <t>IDEA Part C</t>
  </si>
  <si>
    <t>Early Intervention</t>
  </si>
  <si>
    <t>Early Childhood Mental Health Consultation Services</t>
  </si>
  <si>
    <t>Early Intervention Services</t>
  </si>
  <si>
    <t>IDEA Part B</t>
  </si>
  <si>
    <t>Preschool Special Education</t>
  </si>
  <si>
    <t>Other Federal Funding Streams</t>
  </si>
  <si>
    <t>0 to 3 Only</t>
  </si>
  <si>
    <t>Early Head Start</t>
  </si>
  <si>
    <t>Neighborhood Villages Pilot Program</t>
  </si>
  <si>
    <t>Head Start</t>
  </si>
  <si>
    <t>PDG</t>
  </si>
  <si>
    <t>CDCTC</t>
  </si>
  <si>
    <t>3 to 5.5 Only</t>
  </si>
  <si>
    <t>CACFP</t>
  </si>
  <si>
    <t>Grants to Head Start Programs</t>
  </si>
  <si>
    <t>CCAMPIS</t>
  </si>
  <si>
    <t>PDG - State Match</t>
  </si>
  <si>
    <t>0 to 5.5 Only</t>
  </si>
  <si>
    <t>K-12</t>
  </si>
  <si>
    <t>Total Nationally Reported 
ECE Spending</t>
  </si>
  <si>
    <t>Total State Reported 
ECE Spending</t>
  </si>
  <si>
    <t>Source(s):</t>
  </si>
  <si>
    <t>https://budget.digital.mass.gov/summary/fy26/downloads/</t>
  </si>
  <si>
    <t>Historical Spending</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</si>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</sst>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19"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9" fillId="4" borderId="76" xfId="0" applyFont="1" applyFill="1" applyBorder="1" applyAlignment="1">
      <alignment vertical="center"/>
    </xf>
    <xf numFmtId="0" fontId="19" fillId="4" borderId="74" xfId="0" applyFont="1" applyFill="1" applyBorder="1" applyAlignment="1">
      <alignment vertical="center"/>
    </xf>
    <xf numFmtId="0" fontId="20" fillId="4" borderId="0" xfId="0" applyFont="1" applyFill="1" applyAlignment="1">
      <alignment vertical="center"/>
    </xf>
    <xf numFmtId="0" fontId="20"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167" fontId="0" fillId="4" borderId="95" xfId="0" applyNumberFormat="1" applyFill="1" applyBorder="1" applyAlignment="1">
      <alignment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167" fontId="0" fillId="4" borderId="72" xfId="0" applyNumberFormat="1" applyFill="1" applyBorder="1" applyAlignment="1">
      <alignment vertical="center"/>
    </xf>
    <xf numFmtId="167" fontId="0" fillId="4" borderId="79" xfId="0" applyNumberForma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1"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Massachusetts!$L$4</c:f>
              <c:strCache>
                <c:ptCount val="1"/>
                <c:pt idx="0">
                  <c:v>Federal Dollars</c:v>
                </c:pt>
              </c:strCache>
            </c:strRef>
          </c:tx>
          <c:spPr>
            <a:solidFill>
              <a:srgbClr val="70CEB4">
                <a:lumMod val="50000"/>
              </a:srgbClr>
            </a:solidFill>
            <a:ln>
              <a:noFill/>
            </a:ln>
            <a:effectLst/>
          </c:spPr>
          <c:invertIfNegative val="0"/>
          <c:cat>
            <c:strRef>
              <c:f>Massachusetts!$K$5:$K$7</c:f>
              <c:strCache>
                <c:ptCount val="3"/>
                <c:pt idx="0">
                  <c:v>0 to 3</c:v>
                </c:pt>
                <c:pt idx="1">
                  <c:v>3 to 5.5</c:v>
                </c:pt>
                <c:pt idx="2">
                  <c:v>K - 12</c:v>
                </c:pt>
              </c:strCache>
            </c:strRef>
          </c:cat>
          <c:val>
            <c:numRef>
              <c:f>Massachusetts!$L$5:$L$7</c:f>
              <c:numCache>
                <c:formatCode>_("$"* #,##0_);_("$"* \(#,##0\);_("$"* "-"??_);_(@_)</c:formatCode>
                <c:ptCount val="3"/>
                <c:pt idx="0">
                  <c:v>1376.7010326650291</c:v>
                </c:pt>
                <c:pt idx="1">
                  <c:v>2021.6156962385944</c:v>
                </c:pt>
                <c:pt idx="2">
                  <c:v>1977.2927270032303</c:v>
                </c:pt>
              </c:numCache>
            </c:numRef>
          </c:val>
          <c:extLst>
            <c:ext xmlns:c16="http://schemas.microsoft.com/office/drawing/2014/chart" uri="{C3380CC4-5D6E-409C-BE32-E72D297353CC}">
              <c16:uniqueId val="{00000000-5689-4B2A-8A7E-FA8ECA991FAB}"/>
            </c:ext>
          </c:extLst>
        </c:ser>
        <c:ser>
          <c:idx val="1"/>
          <c:order val="1"/>
          <c:tx>
            <c:strRef>
              <c:f>Massachusetts!$M$4</c:f>
              <c:strCache>
                <c:ptCount val="1"/>
                <c:pt idx="0">
                  <c:v>State and Local Dollars</c:v>
                </c:pt>
              </c:strCache>
            </c:strRef>
          </c:tx>
          <c:spPr>
            <a:solidFill>
              <a:srgbClr val="42B4E5">
                <a:lumMod val="40000"/>
                <a:lumOff val="60000"/>
              </a:srgbClr>
            </a:solidFill>
            <a:ln>
              <a:noFill/>
            </a:ln>
            <a:effectLst/>
          </c:spPr>
          <c:invertIfNegative val="0"/>
          <c:cat>
            <c:strRef>
              <c:f>Massachusetts!$K$5:$K$7</c:f>
              <c:strCache>
                <c:ptCount val="3"/>
                <c:pt idx="0">
                  <c:v>0 to 3</c:v>
                </c:pt>
                <c:pt idx="1">
                  <c:v>3 to 5.5</c:v>
                </c:pt>
                <c:pt idx="2">
                  <c:v>K - 12</c:v>
                </c:pt>
              </c:strCache>
            </c:strRef>
          </c:cat>
          <c:val>
            <c:numRef>
              <c:f>Massachusetts!$M$5:$M$7</c:f>
              <c:numCache>
                <c:formatCode>_("$"* #,##0_);_("$"* \(#,##0\);_("$"* "-"??_);_(@_)</c:formatCode>
                <c:ptCount val="3"/>
                <c:pt idx="0">
                  <c:v>2267.3663590249853</c:v>
                </c:pt>
                <c:pt idx="1">
                  <c:v>2933.5755375273125</c:v>
                </c:pt>
                <c:pt idx="2">
                  <c:v>20769.33104327898</c:v>
                </c:pt>
              </c:numCache>
            </c:numRef>
          </c:val>
          <c:extLst>
            <c:ext xmlns:c16="http://schemas.microsoft.com/office/drawing/2014/chart" uri="{C3380CC4-5D6E-409C-BE32-E72D297353CC}">
              <c16:uniqueId val="{00000001-5689-4B2A-8A7E-FA8ECA991FAB}"/>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Massachusetts!$N$5:$N$7</c:f>
              <c:numCache>
                <c:formatCode>_("$"* #,##0_);_("$"* \(#,##0\);_("$"* "-"??_);_(@_)</c:formatCode>
                <c:ptCount val="3"/>
                <c:pt idx="0">
                  <c:v>3644.0673916900141</c:v>
                </c:pt>
                <c:pt idx="1">
                  <c:v>4955.1912337659069</c:v>
                </c:pt>
                <c:pt idx="2">
                  <c:v>22746.623770282211</c:v>
                </c:pt>
              </c:numCache>
            </c:numRef>
          </c:val>
          <c:smooth val="0"/>
          <c:extLst>
            <c:ext xmlns:c16="http://schemas.microsoft.com/office/drawing/2014/chart" uri="{C3380CC4-5D6E-409C-BE32-E72D297353CC}">
              <c16:uniqueId val="{00000002-5689-4B2A-8A7E-FA8ECA991FAB}"/>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36027</xdr:rowOff>
    </xdr:from>
    <xdr:to>
      <xdr:col>15</xdr:col>
      <xdr:colOff>590201</xdr:colOff>
      <xdr:row>29</xdr:row>
      <xdr:rowOff>130526</xdr:rowOff>
    </xdr:to>
    <xdr:graphicFrame macro="">
      <xdr:nvGraphicFramePr>
        <xdr:cNvPr id="2" name="Chart 1">
          <a:extLst>
            <a:ext uri="{FF2B5EF4-FFF2-40B4-BE49-F238E27FC236}">
              <a16:creationId xmlns:a16="http://schemas.microsoft.com/office/drawing/2014/main" id="{D7BD74F1-C057-4E61-8E8F-ADFC6749C5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1075B-52AE-4B27-A4FF-AF4DC090F41B}">
  <sheetPr codeName="Sheet22">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1376.7010326650291</v>
      </c>
      <c r="M5" s="38">
        <f>H85/P5</f>
        <v>2267.3663590249853</v>
      </c>
      <c r="N5" s="38">
        <f>SUM(L5:M5)</f>
        <v>3644.0673916900141</v>
      </c>
      <c r="O5" s="39">
        <f>N5/N7</f>
        <v>0.16020256142148356</v>
      </c>
      <c r="P5" s="40">
        <v>200151</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423896787</v>
      </c>
      <c r="D6" s="38">
        <f>H36</f>
        <v>1149167573.9400001</v>
      </c>
      <c r="E6" s="38">
        <v>540774755.187971</v>
      </c>
      <c r="F6" s="38">
        <v>555123605.10290217</v>
      </c>
      <c r="G6" s="43">
        <v>477166000.64912689</v>
      </c>
      <c r="H6" s="44">
        <f>SUM(E6:G6)</f>
        <v>1573064360.9400001</v>
      </c>
      <c r="I6" s="7"/>
      <c r="J6" s="7"/>
      <c r="K6" s="37" t="s">
        <v>16</v>
      </c>
      <c r="L6" s="38">
        <v>2021.6156962385944</v>
      </c>
      <c r="M6" s="38">
        <f>H86/P6</f>
        <v>2933.5755375273125</v>
      </c>
      <c r="N6" s="38">
        <f t="shared" ref="N6" si="0">SUM(L6:M6)</f>
        <v>4955.1912337659069</v>
      </c>
      <c r="O6" s="39">
        <f>N6/N7</f>
        <v>0.21784293281536213</v>
      </c>
      <c r="P6" s="40">
        <v>179985.5</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102521545</v>
      </c>
      <c r="E7" s="38">
        <v>0</v>
      </c>
      <c r="F7" s="38">
        <f>D7</f>
        <v>102521545</v>
      </c>
      <c r="G7" s="45">
        <v>0</v>
      </c>
      <c r="H7" s="44">
        <f t="shared" ref="H7:H14" si="1">SUM(E7:G7)</f>
        <v>102521545</v>
      </c>
      <c r="I7" s="7"/>
      <c r="J7" s="7"/>
      <c r="K7" s="46" t="s">
        <v>17</v>
      </c>
      <c r="L7" s="47">
        <v>1977.2927270032303</v>
      </c>
      <c r="M7" s="47">
        <f>(H87+D13)/P7</f>
        <v>20769.33104327898</v>
      </c>
      <c r="N7" s="47">
        <f>SUM(L7:M7)</f>
        <v>22746.623770282211</v>
      </c>
      <c r="O7" s="48">
        <f>N7/N7</f>
        <v>1</v>
      </c>
      <c r="P7" s="49">
        <v>1022799</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9013305</v>
      </c>
      <c r="D8" s="38">
        <f>H53</f>
        <v>17472668</v>
      </c>
      <c r="E8" s="38">
        <f>(C8+D8)*0.86</f>
        <v>22777936.780000001</v>
      </c>
      <c r="F8" s="38">
        <f>(C8+D8)*0.14</f>
        <v>3708036.22</v>
      </c>
      <c r="G8" s="45">
        <v>0</v>
      </c>
      <c r="H8" s="44">
        <f t="shared" si="1"/>
        <v>26485973</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20148718</v>
      </c>
      <c r="D9" s="38">
        <f>H64</f>
        <v>42738045</v>
      </c>
      <c r="E9" s="38">
        <f>C65+H65</f>
        <v>51998554</v>
      </c>
      <c r="F9" s="38">
        <f>C66+H66</f>
        <v>10888209</v>
      </c>
      <c r="G9" s="45">
        <v>0</v>
      </c>
      <c r="H9" s="44">
        <f t="shared" si="1"/>
        <v>62886763</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1000000</v>
      </c>
      <c r="E10" s="38">
        <f>SUM(C10:D10)</f>
        <v>1000000</v>
      </c>
      <c r="F10" s="38">
        <v>0</v>
      </c>
      <c r="G10" s="45">
        <v>0</v>
      </c>
      <c r="H10" s="44">
        <f t="shared" si="1"/>
        <v>1000000</v>
      </c>
      <c r="I10" s="7"/>
      <c r="J10" s="7"/>
      <c r="K10" s="54" t="s">
        <v>25</v>
      </c>
      <c r="L10" s="55"/>
      <c r="M10" s="56">
        <f>SUM(C84+D84)</f>
        <v>832749399.13343883</v>
      </c>
      <c r="N10" s="57" t="s">
        <v>26</v>
      </c>
      <c r="O10" s="58"/>
      <c r="P10" s="59">
        <f>M11-M10</f>
        <v>791765046.831707</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17500000</v>
      </c>
      <c r="E11" s="38">
        <v>0</v>
      </c>
      <c r="F11" s="38">
        <f>SUM(C11:D11)</f>
        <v>17500000</v>
      </c>
      <c r="G11" s="45">
        <v>0</v>
      </c>
      <c r="H11" s="44">
        <f t="shared" si="1"/>
        <v>17500000</v>
      </c>
      <c r="I11" s="7"/>
      <c r="J11" s="7"/>
      <c r="K11" s="60" t="s">
        <v>28</v>
      </c>
      <c r="L11" s="61"/>
      <c r="M11" s="62">
        <f>C84+H84</f>
        <v>1624514445.9651458</v>
      </c>
      <c r="N11" s="63" t="s">
        <v>29</v>
      </c>
      <c r="O11" s="64"/>
      <c r="P11" s="65">
        <f>P10/M10</f>
        <v>0.95078429075496151</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1858879058.1704667</v>
      </c>
      <c r="D13" s="66">
        <v>20894267893.829533</v>
      </c>
      <c r="E13" s="66">
        <v>0</v>
      </c>
      <c r="F13" s="66">
        <v>0</v>
      </c>
      <c r="G13" s="67">
        <f>C13+D13</f>
        <v>22753146952</v>
      </c>
      <c r="H13" s="44">
        <f t="shared" si="1"/>
        <v>22753146952</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354608756</v>
      </c>
      <c r="D14" s="70">
        <v>0</v>
      </c>
      <c r="E14" s="70">
        <f>C80</f>
        <v>115031616.6278777</v>
      </c>
      <c r="F14" s="70">
        <f>C81</f>
        <v>203190188.046395</v>
      </c>
      <c r="G14" s="71">
        <f>C82</f>
        <v>36386951.325727284</v>
      </c>
      <c r="H14" s="44">
        <f t="shared" si="1"/>
        <v>354608756</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2666546624.1704664</v>
      </c>
      <c r="D15" s="74">
        <f>SUM(D6:D14)</f>
        <v>22224667725.769531</v>
      </c>
      <c r="E15" s="74">
        <f>SUM(E6:E14)</f>
        <v>731582862.59584868</v>
      </c>
      <c r="F15" s="74">
        <f>SUM(F6:F14)</f>
        <v>892931583.36929727</v>
      </c>
      <c r="G15" s="75">
        <f>SUM(G6:G14)</f>
        <v>23266699903.974854</v>
      </c>
      <c r="H15" s="76">
        <f>IF(SUM(H6:H14)=C15+D15, SUM(H6:H14), "Sums Do Not Match")</f>
        <v>24891214349.939999</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193900787</v>
      </c>
      <c r="D22" s="105"/>
      <c r="E22" s="106" t="s">
        <v>42</v>
      </c>
      <c r="F22" s="107"/>
      <c r="G22" s="108"/>
      <c r="H22" s="109">
        <v>12303781</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83868546</v>
      </c>
      <c r="E23" s="114" t="s">
        <v>44</v>
      </c>
      <c r="F23" s="115"/>
      <c r="G23" s="116"/>
      <c r="H23" s="117">
        <v>190750286.07999998</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25000</v>
      </c>
      <c r="D24" s="121"/>
      <c r="E24" s="114" t="s">
        <v>46</v>
      </c>
      <c r="F24" s="122"/>
      <c r="G24" s="116"/>
      <c r="H24" s="117">
        <v>349545996.86000001</v>
      </c>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47</v>
      </c>
      <c r="B25" s="119"/>
      <c r="C25" s="120">
        <v>229971000</v>
      </c>
      <c r="D25" s="121"/>
      <c r="E25" s="123" t="s">
        <v>48</v>
      </c>
      <c r="F25" s="124"/>
      <c r="G25" s="116"/>
      <c r="H25" s="117">
        <v>19536844</v>
      </c>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49</v>
      </c>
      <c r="B26" s="119"/>
      <c r="C26" s="125"/>
      <c r="D26" s="126">
        <v>44973368</v>
      </c>
      <c r="E26" s="127" t="s">
        <v>50</v>
      </c>
      <c r="F26" s="127"/>
      <c r="G26" s="116"/>
      <c r="H26" s="117">
        <v>5032354</v>
      </c>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t="s">
        <v>51</v>
      </c>
      <c r="F27" s="127"/>
      <c r="G27" s="116"/>
      <c r="H27" s="117">
        <v>475000000</v>
      </c>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t="s">
        <v>52</v>
      </c>
      <c r="F28" s="130"/>
      <c r="G28" s="116"/>
      <c r="H28" s="117">
        <v>46887018</v>
      </c>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t="s">
        <v>53</v>
      </c>
      <c r="F29" s="130"/>
      <c r="G29" s="131"/>
      <c r="H29" s="132">
        <v>10111294</v>
      </c>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t="s">
        <v>54</v>
      </c>
      <c r="F30" s="130"/>
      <c r="G30" s="131"/>
      <c r="H30" s="132">
        <v>25000000</v>
      </c>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t="s">
        <v>55</v>
      </c>
      <c r="F31" s="130"/>
      <c r="G31" s="131"/>
      <c r="H31" s="132">
        <v>15000000</v>
      </c>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423896787</v>
      </c>
      <c r="D36" s="143">
        <f>SUM(D22:D35)</f>
        <v>128841914</v>
      </c>
      <c r="E36" s="144" t="s">
        <v>18</v>
      </c>
      <c r="F36" s="145"/>
      <c r="G36" s="146">
        <f>SUM(G22:G35)</f>
        <v>0</v>
      </c>
      <c r="H36" s="147">
        <f>SUM(H22:H35)</f>
        <v>1149167573.9400001</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145723650.54276115</v>
      </c>
      <c r="D37" s="151">
        <v>44292182.971881047</v>
      </c>
      <c r="E37" s="152" t="s">
        <v>15</v>
      </c>
      <c r="F37" s="150"/>
      <c r="G37" s="153">
        <v>0</v>
      </c>
      <c r="H37" s="154">
        <v>395051104.64520979</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149590263.71328011</v>
      </c>
      <c r="D38" s="151">
        <v>45467426.231243774</v>
      </c>
      <c r="E38" s="152" t="s">
        <v>16</v>
      </c>
      <c r="F38" s="150"/>
      <c r="G38" s="153">
        <v>0</v>
      </c>
      <c r="H38" s="154">
        <v>405533341.38962209</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128582872.74395874</v>
      </c>
      <c r="D39" s="151">
        <v>39082304.796875179</v>
      </c>
      <c r="E39" s="152" t="s">
        <v>17</v>
      </c>
      <c r="F39" s="150"/>
      <c r="G39" s="153">
        <v>0</v>
      </c>
      <c r="H39" s="154">
        <v>348583127.90516812</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56</v>
      </c>
      <c r="B41" s="158"/>
      <c r="C41" s="159"/>
      <c r="D41" s="160">
        <v>100292048</v>
      </c>
      <c r="E41" s="161" t="s">
        <v>57</v>
      </c>
      <c r="F41" s="162"/>
      <c r="G41" s="108"/>
      <c r="H41" s="163">
        <v>17782115</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t="s">
        <v>58</v>
      </c>
      <c r="F42" s="169"/>
      <c r="G42" s="170"/>
      <c r="H42" s="171">
        <v>84739430</v>
      </c>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100292048</v>
      </c>
      <c r="E46" s="144" t="s">
        <v>18</v>
      </c>
      <c r="F46" s="145"/>
      <c r="G46" s="146">
        <f>SUM(G41:G45)</f>
        <v>0</v>
      </c>
      <c r="H46" s="147">
        <f>SUM($H$41:$H$45)</f>
        <v>102521545</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100292048</v>
      </c>
      <c r="E47" s="152" t="s">
        <v>16</v>
      </c>
      <c r="F47" s="150"/>
      <c r="G47" s="153">
        <f>G46</f>
        <v>0</v>
      </c>
      <c r="H47" s="190">
        <f>H46</f>
        <v>102521545</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59</v>
      </c>
      <c r="B48" s="192"/>
      <c r="C48" s="192"/>
      <c r="D48" s="193"/>
      <c r="E48" s="156" t="s">
        <v>60</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61</v>
      </c>
      <c r="B49" s="195"/>
      <c r="C49" s="112">
        <v>9013305</v>
      </c>
      <c r="D49" s="196"/>
      <c r="E49" s="197" t="s">
        <v>62</v>
      </c>
      <c r="F49" s="198"/>
      <c r="G49" s="199"/>
      <c r="H49" s="109">
        <v>11525147</v>
      </c>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0" t="s">
        <v>63</v>
      </c>
      <c r="B50" s="201"/>
      <c r="C50" s="120">
        <v>0</v>
      </c>
      <c r="D50" s="121"/>
      <c r="E50" s="202" t="s">
        <v>64</v>
      </c>
      <c r="F50" s="203"/>
      <c r="G50" s="116"/>
      <c r="H50" s="117">
        <v>4197521</v>
      </c>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0" t="s">
        <v>65</v>
      </c>
      <c r="B51" s="201"/>
      <c r="C51" s="120"/>
      <c r="D51" s="204">
        <v>0</v>
      </c>
      <c r="E51" s="202" t="s">
        <v>66</v>
      </c>
      <c r="F51" s="203"/>
      <c r="G51" s="116"/>
      <c r="H51" s="117">
        <v>1750000</v>
      </c>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5"/>
      <c r="B52" s="206"/>
      <c r="C52" s="207"/>
      <c r="D52" s="208"/>
      <c r="E52" s="182"/>
      <c r="F52" s="183"/>
      <c r="G52" s="138"/>
      <c r="H52" s="139"/>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9013305</v>
      </c>
      <c r="D53" s="143">
        <f>SUM($D$49:$D$52)</f>
        <v>0</v>
      </c>
      <c r="E53" s="144" t="s">
        <v>18</v>
      </c>
      <c r="F53" s="145"/>
      <c r="G53" s="146">
        <f>SUM($G$49:$G$52)</f>
        <v>0</v>
      </c>
      <c r="H53" s="147">
        <f>SUM($H$49:$H$52)</f>
        <v>17472668</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7751442.2999999998</v>
      </c>
      <c r="D54" s="189">
        <f>D$53*0.86</f>
        <v>0</v>
      </c>
      <c r="E54" s="152" t="s">
        <v>15</v>
      </c>
      <c r="F54" s="150"/>
      <c r="G54" s="153">
        <f>G$53*0.86</f>
        <v>0</v>
      </c>
      <c r="H54" s="190">
        <f>H$53*0.86</f>
        <v>15026494.48</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1261862.7000000002</v>
      </c>
      <c r="D55" s="189">
        <f>D$53*0.14</f>
        <v>0</v>
      </c>
      <c r="E55" s="152" t="s">
        <v>16</v>
      </c>
      <c r="F55" s="150"/>
      <c r="G55" s="153">
        <f>G$53*0.14</f>
        <v>0</v>
      </c>
      <c r="H55" s="190">
        <f>H$53*0.14</f>
        <v>2446173.52</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67</v>
      </c>
      <c r="B56" s="97"/>
      <c r="C56" s="97"/>
      <c r="D56" s="155"/>
      <c r="E56" s="156" t="s">
        <v>68</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09" t="s">
        <v>67</v>
      </c>
      <c r="B57" s="210"/>
      <c r="C57" s="112">
        <v>9260509</v>
      </c>
      <c r="D57" s="196"/>
      <c r="E57" s="197" t="s">
        <v>69</v>
      </c>
      <c r="F57" s="198"/>
      <c r="G57" s="108"/>
      <c r="H57" s="109">
        <v>4194144</v>
      </c>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0"/>
      <c r="B58" s="201"/>
      <c r="C58" s="120"/>
      <c r="D58" s="121"/>
      <c r="E58" s="202" t="s">
        <v>70</v>
      </c>
      <c r="F58" s="203"/>
      <c r="G58" s="116"/>
      <c r="H58" s="117">
        <v>38543901</v>
      </c>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1"/>
      <c r="B59" s="212"/>
      <c r="C59" s="207"/>
      <c r="D59" s="208"/>
      <c r="E59" s="182"/>
      <c r="F59" s="183"/>
      <c r="G59" s="138"/>
      <c r="H59" s="213"/>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71</v>
      </c>
      <c r="B60" s="97"/>
      <c r="C60" s="97"/>
      <c r="D60" s="155"/>
      <c r="E60" s="156" t="s">
        <v>72</v>
      </c>
      <c r="F60" s="100"/>
      <c r="G60" s="100"/>
      <c r="H60" s="214"/>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09" t="s">
        <v>71</v>
      </c>
      <c r="B61" s="210"/>
      <c r="C61" s="215">
        <v>10888209</v>
      </c>
      <c r="D61" s="196"/>
      <c r="E61" s="216"/>
      <c r="F61" s="217"/>
      <c r="G61" s="108"/>
      <c r="H61" s="218"/>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0"/>
      <c r="B62" s="201"/>
      <c r="C62" s="125"/>
      <c r="D62" s="121"/>
      <c r="E62" s="202"/>
      <c r="F62" s="203"/>
      <c r="G62" s="116"/>
      <c r="H62" s="219"/>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1"/>
      <c r="B63" s="212"/>
      <c r="C63" s="207"/>
      <c r="D63" s="208"/>
      <c r="E63" s="220"/>
      <c r="F63" s="221"/>
      <c r="G63" s="138"/>
      <c r="H63" s="213"/>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20148718</v>
      </c>
      <c r="D64" s="223">
        <f>SUM($D$65:$D$66)</f>
        <v>0</v>
      </c>
      <c r="E64" s="144" t="s">
        <v>18</v>
      </c>
      <c r="F64" s="145"/>
      <c r="G64" s="224">
        <f>SUM(G65:G66)</f>
        <v>0</v>
      </c>
      <c r="H64" s="147">
        <f>SUM(H65:H66)</f>
        <v>42738045</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9260509</v>
      </c>
      <c r="D65" s="225">
        <f>SUM($D$57:$D$59)</f>
        <v>0</v>
      </c>
      <c r="E65" s="152" t="s">
        <v>15</v>
      </c>
      <c r="F65" s="150"/>
      <c r="G65" s="225">
        <f>SUM(G57:G59)</f>
        <v>0</v>
      </c>
      <c r="H65" s="190">
        <f>SUM(H57:H59)</f>
        <v>42738045</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10888209</v>
      </c>
      <c r="D66" s="225">
        <f>SUM($D$61:$D$63)</f>
        <v>0</v>
      </c>
      <c r="E66" s="152" t="s">
        <v>16</v>
      </c>
      <c r="F66" s="150"/>
      <c r="G66" s="153">
        <f>SUM(G61:G63)</f>
        <v>0</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73</v>
      </c>
      <c r="B67" s="97"/>
      <c r="C67" s="97"/>
      <c r="D67" s="155"/>
      <c r="E67" s="156" t="s">
        <v>74</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09" t="s">
        <v>75</v>
      </c>
      <c r="B68" s="210"/>
      <c r="C68" s="112">
        <v>48715553</v>
      </c>
      <c r="D68" s="196"/>
      <c r="E68" s="197" t="s">
        <v>76</v>
      </c>
      <c r="F68" s="226"/>
      <c r="G68" s="227"/>
      <c r="H68" s="109">
        <v>1000000</v>
      </c>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0" t="s">
        <v>77</v>
      </c>
      <c r="B69" s="201"/>
      <c r="C69" s="120">
        <v>135917891</v>
      </c>
      <c r="D69" s="121"/>
      <c r="E69" s="202"/>
      <c r="F69" s="203"/>
      <c r="G69" s="116"/>
      <c r="H69" s="219"/>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0" t="s">
        <v>78</v>
      </c>
      <c r="B70" s="201"/>
      <c r="C70" s="120">
        <v>11987518</v>
      </c>
      <c r="D70" s="121"/>
      <c r="E70" s="182"/>
      <c r="F70" s="183"/>
      <c r="G70" s="138"/>
      <c r="H70" s="213"/>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0" t="s">
        <v>79</v>
      </c>
      <c r="B71" s="201"/>
      <c r="C71" s="228">
        <v>88679000</v>
      </c>
      <c r="D71" s="121"/>
      <c r="E71" s="156" t="s">
        <v>80</v>
      </c>
      <c r="F71" s="100"/>
      <c r="G71" s="100"/>
      <c r="H71" s="214"/>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0" t="s">
        <v>81</v>
      </c>
      <c r="B72" s="201"/>
      <c r="C72" s="112">
        <v>68014400</v>
      </c>
      <c r="D72" s="121"/>
      <c r="E72" s="197" t="s">
        <v>82</v>
      </c>
      <c r="F72" s="198"/>
      <c r="G72" s="108"/>
      <c r="H72" s="109">
        <v>17500000</v>
      </c>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83</v>
      </c>
      <c r="B73" s="111"/>
      <c r="C73" s="125">
        <v>1294394</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0" t="s">
        <v>84</v>
      </c>
      <c r="B74" s="201"/>
      <c r="C74" s="125"/>
      <c r="D74" s="229">
        <v>0</v>
      </c>
      <c r="E74" s="182"/>
      <c r="F74" s="183"/>
      <c r="G74" s="138"/>
      <c r="H74" s="213"/>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0"/>
      <c r="B75" s="201"/>
      <c r="C75" s="125"/>
      <c r="D75" s="229"/>
      <c r="E75" s="156" t="s">
        <v>85</v>
      </c>
      <c r="F75" s="100"/>
      <c r="G75" s="100"/>
      <c r="H75" s="214"/>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0"/>
      <c r="B76" s="201"/>
      <c r="C76" s="125"/>
      <c r="D76" s="229"/>
      <c r="E76" s="197"/>
      <c r="F76" s="226"/>
      <c r="G76" s="227"/>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0"/>
      <c r="B77" s="201"/>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5"/>
      <c r="B78" s="206"/>
      <c r="C78" s="207"/>
      <c r="D78" s="208"/>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354608756</v>
      </c>
      <c r="D79" s="238">
        <f>SUM(D68:D78)</f>
        <v>0</v>
      </c>
      <c r="E79" s="144" t="s">
        <v>18</v>
      </c>
      <c r="F79" s="145"/>
      <c r="G79" s="146">
        <f>SUM(G80:G81)</f>
        <v>0</v>
      </c>
      <c r="H79" s="147">
        <f>SUM(H80:H81)</f>
        <v>18500000</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115031616.6278777</v>
      </c>
      <c r="D80" s="225">
        <v>0</v>
      </c>
      <c r="E80" s="152" t="s">
        <v>15</v>
      </c>
      <c r="F80" s="150"/>
      <c r="G80" s="153">
        <v>0</v>
      </c>
      <c r="H80" s="154">
        <v>1000000</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203190188.046395</v>
      </c>
      <c r="D81" s="242">
        <f>D79</f>
        <v>0</v>
      </c>
      <c r="E81" s="152" t="s">
        <v>16</v>
      </c>
      <c r="F81" s="150"/>
      <c r="G81" s="153">
        <v>0</v>
      </c>
      <c r="H81" s="243">
        <v>17500000</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86</v>
      </c>
      <c r="B82" s="241"/>
      <c r="C82" s="242">
        <f>C79-SUM(C80:C81)</f>
        <v>36386951.325727284</v>
      </c>
      <c r="D82" s="242">
        <v>0</v>
      </c>
      <c r="E82" s="244" t="s">
        <v>86</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87</v>
      </c>
      <c r="B83" s="249"/>
      <c r="C83" s="250" t="s">
        <v>37</v>
      </c>
      <c r="D83" s="250" t="s">
        <v>38</v>
      </c>
      <c r="E83" s="251" t="s">
        <v>88</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642697741.93031394</v>
      </c>
      <c r="D84" s="258">
        <f>SUM(D85:D86)</f>
        <v>190051657.20312482</v>
      </c>
      <c r="E84" s="259"/>
      <c r="F84" s="260"/>
      <c r="G84" s="261">
        <f>SUM(G85:G86)</f>
        <v>0</v>
      </c>
      <c r="H84" s="262">
        <f>SUM(H85:H86)</f>
        <v>981816704.03483188</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277767218.47063887</v>
      </c>
      <c r="D85" s="189">
        <f>SUM(D37,D54,D65,D80)</f>
        <v>44292182.971881047</v>
      </c>
      <c r="E85" s="265" t="s">
        <v>15</v>
      </c>
      <c r="F85" s="266"/>
      <c r="G85" s="153">
        <f>SUM(G37,G54,G65,G80)</f>
        <v>0</v>
      </c>
      <c r="H85" s="267">
        <f>SUM(H37,H54,H65,H80)</f>
        <v>453815644.12520981</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364930523.45967507</v>
      </c>
      <c r="D86" s="151">
        <f>SUM(D38,D47,D55,D66,D81)</f>
        <v>145759474.23124379</v>
      </c>
      <c r="E86" s="152" t="s">
        <v>16</v>
      </c>
      <c r="F86" s="150"/>
      <c r="G86" s="153">
        <f>SUM(G38,G47,G55,G66,G81)</f>
        <v>0</v>
      </c>
      <c r="H86" s="154">
        <f>SUM(H38,H47,H55,H66,H81)</f>
        <v>528001059.90962207</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86</v>
      </c>
      <c r="B87" s="270"/>
      <c r="C87" s="271">
        <f>SUM(C39,C82)</f>
        <v>164969824.06968603</v>
      </c>
      <c r="D87" s="271">
        <f>SUM(D39)</f>
        <v>39082304.796875179</v>
      </c>
      <c r="E87" s="272" t="s">
        <v>86</v>
      </c>
      <c r="F87" s="270"/>
      <c r="G87" s="271">
        <f>SUM(G39)</f>
        <v>0</v>
      </c>
      <c r="H87" s="273">
        <f>SUM(H39)</f>
        <v>348583127.90516812</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89</v>
      </c>
      <c r="B88" s="275" t="s">
        <v>90</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t="s">
        <v>91</v>
      </c>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92</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93</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94</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95</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96</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97</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98</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99</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100</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101</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102</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103</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104</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105</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NIMvFJV10HvbuY13SDNb8VXXqiWvctHhg//Q111a8IbMfoOe6tEYUgWN8xWNtXgHIW03B192kIap6oxyFx5EiQ==" saltValue="NmmE20WkWeD2J5g0ce1R+A=="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B3A88B04-539A-4CD8-B1F4-BB0BEAE57C4A}"/>
    <hyperlink ref="B101" r:id="rId2" location="Fiscal:1,Page:1" xr:uid="{DF9D2036-02CE-4C2A-AA86-1E1F5E61A4B2}"/>
    <hyperlink ref="A2" location="Index!A1" display="Back to Index" xr:uid="{14B105F9-5342-4A16-89E4-AB4414ABA486}"/>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25FC295C-6C94-49E5-AD59-ACA517E62D4E}"/>
</file>

<file path=customXml/itemProps2.xml><?xml version="1.0" encoding="utf-8"?>
<ds:datastoreItem xmlns:ds="http://schemas.openxmlformats.org/officeDocument/2006/customXml" ds:itemID="{6C03B3AD-9642-4754-A279-E9E1DB9EF085}"/>
</file>

<file path=customXml/itemProps3.xml><?xml version="1.0" encoding="utf-8"?>
<ds:datastoreItem xmlns:ds="http://schemas.openxmlformats.org/officeDocument/2006/customXml" ds:itemID="{08C1B57D-233A-4B04-9FDC-8DC0492CC6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Massachusetts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2026-09-28T16:05:25Z</dcterms:created>
  <dcterms:modified xsi:type="dcterms:W3CDTF">2026-09-28T16:05:26Z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