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6236B4E9-9E06-4DB9-8B39-E9F501B1A557}" xr6:coauthVersionLast="47" xr6:coauthVersionMax="47" xr10:uidLastSave="{00000000-0000-0000-0000-000000000000}"/>
  <workbookProtection workbookAlgorithmName="SHA-512" workbookHashValue="i0KqOixCWtVkpV+DpkSQ/9IGZyPlef8ECQ1PS2x4qAmgZqLJYQEHPN2nzGm5uMe+rUWy5v77hmEsYobgq6eVdQ==" workbookSaltValue="euN29xiqxqqIL3pEGKiwLQ==" workbookSpinCount="100000" lockStructure="1"/>
  <bookViews>
    <workbookView xWindow="28680" yWindow="-120" windowWidth="29040" windowHeight="15720" xr2:uid="{0A58B807-4739-4FE1-86BE-EE59FA604125}"/>
  </bookViews>
  <sheets>
    <sheet name="Delawar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5" i="1" l="1"/>
  <c r="H79" i="1"/>
  <c r="G79" i="1"/>
  <c r="D79" i="1"/>
  <c r="D81" i="1" s="1"/>
  <c r="C79" i="1"/>
  <c r="C82" i="1" s="1"/>
  <c r="G14" i="1" s="1"/>
  <c r="H66" i="1"/>
  <c r="G66" i="1"/>
  <c r="D66" i="1"/>
  <c r="C66" i="1"/>
  <c r="F9" i="1" s="1"/>
  <c r="H65" i="1"/>
  <c r="H64" i="1" s="1"/>
  <c r="D9" i="1" s="1"/>
  <c r="G65" i="1"/>
  <c r="D65" i="1"/>
  <c r="D64" i="1" s="1"/>
  <c r="G64" i="1"/>
  <c r="H61" i="1"/>
  <c r="H59" i="1"/>
  <c r="H58" i="1"/>
  <c r="C65" i="1"/>
  <c r="G55" i="1"/>
  <c r="G54" i="1"/>
  <c r="G53" i="1"/>
  <c r="D53" i="1"/>
  <c r="H50" i="1"/>
  <c r="H53" i="1" s="1"/>
  <c r="C53" i="1"/>
  <c r="G47" i="1"/>
  <c r="C47" i="1"/>
  <c r="H46" i="1"/>
  <c r="H47" i="1" s="1"/>
  <c r="G46" i="1"/>
  <c r="D46" i="1"/>
  <c r="D47" i="1" s="1"/>
  <c r="C46" i="1"/>
  <c r="H41" i="1"/>
  <c r="H87" i="1"/>
  <c r="M7" i="1" s="1"/>
  <c r="G87" i="1"/>
  <c r="G86" i="1"/>
  <c r="H36" i="1"/>
  <c r="G36" i="1"/>
  <c r="D87" i="1"/>
  <c r="H24" i="1"/>
  <c r="C36" i="1"/>
  <c r="C6" i="1" s="1"/>
  <c r="F14" i="1"/>
  <c r="E14" i="1"/>
  <c r="G13" i="1"/>
  <c r="H13" i="1" s="1"/>
  <c r="D12" i="1"/>
  <c r="H12" i="1" s="1"/>
  <c r="D11" i="1"/>
  <c r="F11" i="1" s="1"/>
  <c r="H11" i="1" s="1"/>
  <c r="D10" i="1"/>
  <c r="E10" i="1" s="1"/>
  <c r="H10" i="1" s="1"/>
  <c r="N7" i="1"/>
  <c r="O7" i="1" s="1"/>
  <c r="D7" i="1"/>
  <c r="F7" i="1" s="1"/>
  <c r="H7" i="1" s="1"/>
  <c r="D6" i="1"/>
  <c r="C54" i="1" l="1"/>
  <c r="C8" i="1"/>
  <c r="C55" i="1"/>
  <c r="H54" i="1"/>
  <c r="H85" i="1" s="1"/>
  <c r="H55" i="1"/>
  <c r="H86" i="1" s="1"/>
  <c r="M6" i="1" s="1"/>
  <c r="N6" i="1" s="1"/>
  <c r="O6" i="1" s="1"/>
  <c r="D8" i="1"/>
  <c r="D15" i="1" s="1"/>
  <c r="D54" i="1"/>
  <c r="D55" i="1"/>
  <c r="D86" i="1" s="1"/>
  <c r="H14" i="1"/>
  <c r="C86" i="1"/>
  <c r="C64" i="1"/>
  <c r="C9" i="1" s="1"/>
  <c r="C15" i="1" s="1"/>
  <c r="E9" i="1"/>
  <c r="H9" i="1" s="1"/>
  <c r="G15" i="1"/>
  <c r="G84" i="1"/>
  <c r="C14" i="1"/>
  <c r="C87" i="1"/>
  <c r="D36" i="1"/>
  <c r="C85" i="1"/>
  <c r="C84" i="1" s="1"/>
  <c r="D85" i="1"/>
  <c r="M5" i="1" l="1"/>
  <c r="N5" i="1" s="1"/>
  <c r="O5" i="1" s="1"/>
  <c r="H84" i="1"/>
  <c r="D84" i="1"/>
  <c r="M10" i="1" s="1"/>
  <c r="M11" i="1"/>
  <c r="H6" i="1"/>
  <c r="H15" i="1" s="1"/>
  <c r="F8" i="1"/>
  <c r="F15" i="1" s="1"/>
  <c r="E8" i="1"/>
  <c r="H8" i="1" s="1"/>
  <c r="P10" i="1" l="1"/>
  <c r="P11" i="1" s="1"/>
  <c r="E15" i="1"/>
</calcChain>
</file>

<file path=xl/sharedStrings.xml><?xml version="1.0" encoding="utf-8"?>
<sst xmlns="http://schemas.openxmlformats.org/spreadsheetml/2006/main" count="150" uniqueCount="97">
  <si>
    <t>Delaware</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</si>
  <si>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</si>
  <si>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</si>
  <si>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</si>
  <si>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</si>
  <si>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</si>
  <si>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</si>
  <si>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</si>
  <si>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</si>
  <si>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</si>
  <si>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</si>
  <si>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</si>
  <si>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</si>
  <si>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</si>
  <si>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</si>
  <si>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</si>
  <si>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</si>
  <si>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</si>
  <si>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</si>
  <si>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</si>
  <si>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</si>
  <si>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</si>
  <si>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</si>
  <si>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</si>
  <si>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</si>
  <si>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</si>
  <si>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</si>
  <si>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</si>
  <si>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</si>
  <si>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</si>
  <si>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</si>
  <si>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</si>
  <si>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</si>
  <si>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</si>
  <si>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</si>
  <si>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</si>
  <si>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</si>
  <si>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</si>
  <si>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</si>
  <si>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</si>
  <si>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</si>
  <si>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</si>
  <si>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CCDF State Match and MOE</t>
  </si>
  <si>
    <t>Early Childhood Initiatives</t>
  </si>
  <si>
    <t>SSBG</t>
  </si>
  <si>
    <t>Early Childhood Support</t>
  </si>
  <si>
    <t>TANF Federal - Child Care</t>
  </si>
  <si>
    <t>Early Childhood Innovation Center</t>
  </si>
  <si>
    <t>TANF State MOE - Child Care</t>
  </si>
  <si>
    <r>
      <t>State Preschool (NIEER)</t>
    </r>
    <r>
      <rPr>
        <vertAlign val="superscript"/>
        <sz val="11"/>
        <color rgb="FF000000"/>
        <rFont val="Aptos Narrow"/>
        <family val="2"/>
        <scheme val="minor"/>
      </rPr>
      <t>5</t>
    </r>
  </si>
  <si>
    <t>Early Care and Education Programs (ECAP)</t>
  </si>
  <si>
    <t>Homevisiting</t>
  </si>
  <si>
    <t>Homevisiting/Parent Education</t>
  </si>
  <si>
    <t>MIECHV</t>
  </si>
  <si>
    <t>Parents as Teachers</t>
  </si>
  <si>
    <t>TANF Federal - Home Visiting</t>
  </si>
  <si>
    <t>Nurse Family Partnership</t>
  </si>
  <si>
    <t>TANF State MOE - Home Visiting</t>
  </si>
  <si>
    <t>IDEA Part C</t>
  </si>
  <si>
    <t>Early Intervention</t>
  </si>
  <si>
    <t>Child Development Watch (Early Intervention)</t>
  </si>
  <si>
    <t>Prevention/Early Intervention Birth to Three Program</t>
  </si>
  <si>
    <t>Developmental Screening</t>
  </si>
  <si>
    <t>IDEA Part B</t>
  </si>
  <si>
    <t>Preschool Special Education</t>
  </si>
  <si>
    <t>Preschool Diagnosis &amp; Treatment</t>
  </si>
  <si>
    <t>Pre-k Unit Funding</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</si>
  <si>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</si>
  <si>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</si>
  <si>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</si>
  <si>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</si>
  <si>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</si>
  <si>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</si>
  <si>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</si>
  <si>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</si>
  <si>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</si>
  <si>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</si>
  <si>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</si>
  <si>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</si>
  <si>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</si>
  <si>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</si>
  <si>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</si>
  <si>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https://budget.delaware.gov/budget/fy2026/documents/operating/budget-book.pdf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</si>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</sst>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1"/>
      <color rgb="FF000000"/>
      <name val="Aptos Narrow"/>
      <family val="2"/>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style="thin">
        <color indexed="64"/>
      </left>
      <right/>
      <top/>
      <bottom style="dotted">
        <color indexed="64"/>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17" fillId="4" borderId="76" xfId="0" applyFont="1" applyFill="1" applyBorder="1" applyAlignment="1">
      <alignment vertical="center"/>
    </xf>
    <xf numFmtId="0" fontId="0" fillId="4" borderId="84" xfId="0" applyFill="1" applyBorder="1" applyAlignment="1">
      <alignment horizontal="left" vertical="center"/>
    </xf>
    <xf numFmtId="6" fontId="17" fillId="4" borderId="85"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6"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7" xfId="0" applyNumberFormat="1" applyFont="1" applyFill="1" applyBorder="1" applyAlignment="1">
      <alignment vertical="center"/>
    </xf>
    <xf numFmtId="166" fontId="0" fillId="4" borderId="88" xfId="0" applyNumberFormat="1" applyFill="1" applyBorder="1" applyAlignment="1">
      <alignment vertical="center"/>
    </xf>
    <xf numFmtId="6" fontId="17" fillId="4" borderId="89" xfId="0" applyNumberFormat="1" applyFont="1" applyFill="1" applyBorder="1" applyAlignment="1">
      <alignment horizontal="center" vertical="center"/>
    </xf>
    <xf numFmtId="0" fontId="17" fillId="4" borderId="90" xfId="0" applyFont="1" applyFill="1" applyBorder="1" applyAlignment="1">
      <alignment horizontal="centerContinuous" vertical="center"/>
    </xf>
    <xf numFmtId="0" fontId="17" fillId="4" borderId="91"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2" xfId="0" applyFont="1" applyFill="1" applyBorder="1" applyAlignment="1">
      <alignment horizontal="left" vertical="center"/>
    </xf>
    <xf numFmtId="6" fontId="17" fillId="4" borderId="93" xfId="0" applyNumberFormat="1" applyFont="1" applyFill="1" applyBorder="1" applyAlignment="1">
      <alignment vertical="center"/>
    </xf>
    <xf numFmtId="166" fontId="0" fillId="4" borderId="94" xfId="0" applyNumberFormat="1" applyFill="1" applyBorder="1" applyAlignment="1">
      <alignment vertical="center"/>
    </xf>
    <xf numFmtId="0" fontId="0" fillId="4" borderId="95" xfId="0" applyFill="1" applyBorder="1"/>
    <xf numFmtId="0" fontId="15" fillId="18" borderId="52" xfId="0" applyFont="1" applyFill="1" applyBorder="1" applyAlignment="1">
      <alignment horizontal="centerContinuous" vertical="center"/>
    </xf>
    <xf numFmtId="0" fontId="15" fillId="18" borderId="96" xfId="0" applyFont="1" applyFill="1" applyBorder="1" applyAlignment="1">
      <alignment horizontal="centerContinuous" vertical="center"/>
    </xf>
    <xf numFmtId="6" fontId="17" fillId="18" borderId="96" xfId="0" applyNumberFormat="1" applyFont="1" applyFill="1" applyBorder="1" applyAlignment="1">
      <alignment horizontal="center" vertical="center"/>
    </xf>
    <xf numFmtId="0" fontId="15" fillId="18" borderId="97"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8" xfId="0" applyNumberFormat="1" applyFont="1" applyFill="1" applyBorder="1" applyAlignment="1">
      <alignment horizontal="center" vertical="center"/>
    </xf>
    <xf numFmtId="0" fontId="0" fillId="4" borderId="95"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99" xfId="0" applyNumberFormat="1" applyFont="1" applyFill="1" applyBorder="1" applyAlignment="1">
      <alignment horizontal="center" vertical="center"/>
    </xf>
    <xf numFmtId="0" fontId="15" fillId="6" borderId="97"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0" xfId="0" applyNumberFormat="1" applyFont="1" applyFill="1" applyBorder="1" applyAlignment="1">
      <alignment horizontal="center" vertical="center"/>
    </xf>
    <xf numFmtId="0" fontId="16" fillId="15" borderId="101" xfId="0" applyFont="1" applyFill="1" applyBorder="1" applyAlignment="1">
      <alignment horizontal="centerContinuous" vertical="center"/>
    </xf>
    <xf numFmtId="0" fontId="16" fillId="16" borderId="102" xfId="0" applyFont="1" applyFill="1" applyBorder="1" applyAlignment="1">
      <alignment horizontal="centerContinuous" vertical="center"/>
    </xf>
    <xf numFmtId="0" fontId="17" fillId="0" borderId="103" xfId="0" applyFont="1" applyBorder="1" applyAlignment="1">
      <alignment horizontal="center" vertical="center"/>
    </xf>
    <xf numFmtId="0" fontId="17" fillId="0" borderId="104"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5" xfId="0" applyNumberFormat="1" applyFont="1" applyBorder="1" applyAlignment="1">
      <alignment horizontal="center" vertical="center"/>
    </xf>
    <xf numFmtId="0" fontId="19" fillId="4" borderId="106" xfId="0" applyFont="1" applyFill="1" applyBorder="1" applyAlignment="1">
      <alignment vertical="center"/>
    </xf>
    <xf numFmtId="0" fontId="20"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7"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20" fillId="4" borderId="76" xfId="0" applyFont="1" applyFill="1" applyBorder="1" applyAlignment="1">
      <alignment vertical="center"/>
    </xf>
    <xf numFmtId="0" fontId="20" fillId="4" borderId="74" xfId="0" applyFont="1" applyFill="1" applyBorder="1" applyAlignment="1">
      <alignment vertical="center"/>
    </xf>
    <xf numFmtId="0" fontId="21" fillId="4" borderId="0" xfId="0" applyFont="1" applyFill="1" applyAlignment="1">
      <alignment vertical="center"/>
    </xf>
    <xf numFmtId="0" fontId="21" fillId="4" borderId="0" xfId="0" applyFont="1" applyFill="1"/>
    <xf numFmtId="0" fontId="17" fillId="0" borderId="90" xfId="0" applyFont="1" applyBorder="1" applyAlignment="1">
      <alignment horizontal="center" vertical="center"/>
    </xf>
    <xf numFmtId="0" fontId="17" fillId="0" borderId="91" xfId="0" applyFont="1" applyBorder="1" applyAlignment="1">
      <alignment horizontal="center" vertical="center"/>
    </xf>
    <xf numFmtId="6" fontId="17" fillId="0" borderId="108" xfId="0" applyNumberFormat="1" applyFont="1" applyBorder="1" applyAlignment="1">
      <alignment horizontal="center" vertical="center"/>
    </xf>
    <xf numFmtId="6" fontId="17" fillId="0" borderId="109" xfId="0" applyNumberFormat="1" applyFont="1" applyBorder="1" applyAlignment="1">
      <alignment horizontal="center" vertical="center"/>
    </xf>
    <xf numFmtId="0" fontId="17" fillId="4" borderId="110" xfId="0" applyFont="1" applyFill="1" applyBorder="1" applyAlignment="1">
      <alignment vertical="center"/>
    </xf>
    <xf numFmtId="0" fontId="17" fillId="4" borderId="92" xfId="0" applyFont="1" applyFill="1" applyBorder="1" applyAlignment="1">
      <alignment vertical="center"/>
    </xf>
    <xf numFmtId="6" fontId="17" fillId="0" borderId="111" xfId="0" applyNumberFormat="1" applyFont="1" applyBorder="1" applyAlignment="1">
      <alignment vertical="center"/>
    </xf>
    <xf numFmtId="0" fontId="0" fillId="0" borderId="112" xfId="0" applyBorder="1" applyAlignment="1">
      <alignment vertical="center"/>
    </xf>
    <xf numFmtId="6" fontId="17" fillId="18" borderId="53" xfId="0" applyNumberFormat="1" applyFont="1" applyFill="1" applyBorder="1" applyAlignment="1">
      <alignment horizontal="center" vertical="center"/>
    </xf>
    <xf numFmtId="0" fontId="4" fillId="4" borderId="0" xfId="4" applyFill="1"/>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6" xfId="0" applyNumberFormat="1" applyFont="1" applyFill="1" applyBorder="1" applyAlignment="1">
      <alignment horizontal="center" vertical="center"/>
    </xf>
    <xf numFmtId="6" fontId="17" fillId="6" borderId="98"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6"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3" xfId="0" applyFont="1" applyFill="1" applyBorder="1" applyAlignment="1">
      <alignment horizontal="center" vertical="center"/>
    </xf>
    <xf numFmtId="0" fontId="17" fillId="4" borderId="114" xfId="0" applyFont="1" applyFill="1" applyBorder="1" applyAlignment="1">
      <alignment horizontal="center" vertical="center"/>
    </xf>
    <xf numFmtId="6" fontId="17" fillId="4" borderId="105" xfId="0" applyNumberFormat="1" applyFont="1" applyFill="1" applyBorder="1" applyAlignment="1">
      <alignment horizontal="center" vertical="center"/>
    </xf>
    <xf numFmtId="0" fontId="17" fillId="4" borderId="106" xfId="0" applyFont="1" applyFill="1" applyBorder="1" applyAlignment="1">
      <alignment vertical="center"/>
    </xf>
    <xf numFmtId="0" fontId="17" fillId="4" borderId="70" xfId="0" applyFont="1" applyFill="1" applyBorder="1" applyAlignment="1">
      <alignment vertical="center"/>
    </xf>
    <xf numFmtId="6" fontId="17" fillId="4" borderId="115" xfId="0" applyNumberFormat="1" applyFon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83" xfId="0" applyFont="1" applyFill="1" applyBorder="1" applyAlignment="1">
      <alignment vertical="center"/>
    </xf>
    <xf numFmtId="6" fontId="17" fillId="4" borderId="116" xfId="0" applyNumberFormat="1" applyFont="1" applyFill="1" applyBorder="1" applyAlignment="1">
      <alignment horizontal="center" vertical="center"/>
    </xf>
    <xf numFmtId="167" fontId="0" fillId="4" borderId="79" xfId="0" applyNumberFormat="1" applyFill="1" applyBorder="1" applyAlignment="1">
      <alignment vertical="center"/>
    </xf>
    <xf numFmtId="0" fontId="17" fillId="4" borderId="90" xfId="0" applyFont="1" applyFill="1" applyBorder="1" applyAlignment="1">
      <alignment horizontal="center" vertical="center"/>
    </xf>
    <xf numFmtId="0" fontId="17" fillId="4" borderId="91" xfId="0" applyFont="1" applyFill="1" applyBorder="1" applyAlignment="1">
      <alignment horizontal="center" vertical="center"/>
    </xf>
    <xf numFmtId="6" fontId="17" fillId="4" borderId="108" xfId="0" applyNumberFormat="1" applyFont="1" applyFill="1" applyBorder="1" applyAlignment="1">
      <alignment horizontal="center" vertical="center"/>
    </xf>
    <xf numFmtId="6" fontId="17" fillId="4" borderId="109" xfId="0" applyNumberFormat="1" applyFont="1" applyFill="1" applyBorder="1" applyAlignment="1">
      <alignment horizontal="center" vertical="center"/>
    </xf>
    <xf numFmtId="167" fontId="0" fillId="4" borderId="94" xfId="0" applyNumberFormat="1" applyFill="1" applyBorder="1" applyAlignment="1">
      <alignment vertical="center"/>
    </xf>
    <xf numFmtId="0" fontId="17" fillId="4" borderId="103" xfId="0" applyFont="1" applyFill="1" applyBorder="1" applyAlignment="1">
      <alignment horizontal="center" vertical="center"/>
    </xf>
    <xf numFmtId="0" fontId="17" fillId="4" borderId="104"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7" xfId="0" applyFont="1" applyFill="1" applyBorder="1" applyAlignment="1">
      <alignment horizontal="center" vertical="center"/>
    </xf>
    <xf numFmtId="0" fontId="16" fillId="16" borderId="118" xfId="0" applyFont="1" applyFill="1" applyBorder="1" applyAlignment="1">
      <alignment horizontal="centerContinuous" vertical="center"/>
    </xf>
    <xf numFmtId="6" fontId="17" fillId="4" borderId="119" xfId="0" applyNumberFormat="1" applyFont="1" applyFill="1" applyBorder="1" applyAlignment="1">
      <alignment horizontal="center" vertical="center"/>
    </xf>
    <xf numFmtId="0" fontId="17" fillId="4" borderId="120" xfId="0" applyFont="1" applyFill="1" applyBorder="1" applyAlignment="1">
      <alignment vertical="center"/>
    </xf>
    <xf numFmtId="0" fontId="17" fillId="4" borderId="84" xfId="0" applyFont="1" applyFill="1" applyBorder="1" applyAlignment="1">
      <alignment vertical="center"/>
    </xf>
    <xf numFmtId="0" fontId="17" fillId="4" borderId="54" xfId="0" applyFont="1" applyFill="1" applyBorder="1" applyAlignment="1">
      <alignment vertical="center"/>
    </xf>
    <xf numFmtId="0" fontId="17" fillId="4" borderId="96"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167" fontId="0" fillId="4" borderId="72" xfId="0" applyNumberForma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4"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6"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2"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Delaware!$L$4</c:f>
              <c:strCache>
                <c:ptCount val="1"/>
                <c:pt idx="0">
                  <c:v>Federal Dollars</c:v>
                </c:pt>
              </c:strCache>
            </c:strRef>
          </c:tx>
          <c:spPr>
            <a:solidFill>
              <a:srgbClr val="70CEB4">
                <a:lumMod val="50000"/>
              </a:srgbClr>
            </a:solidFill>
            <a:ln>
              <a:noFill/>
            </a:ln>
            <a:effectLst/>
          </c:spPr>
          <c:invertIfNegative val="0"/>
          <c:cat>
            <c:strRef>
              <c:f>Delaware!$K$5:$K$7</c:f>
              <c:strCache>
                <c:ptCount val="3"/>
                <c:pt idx="0">
                  <c:v>0 to 3</c:v>
                </c:pt>
                <c:pt idx="1">
                  <c:v>3 to 5.5</c:v>
                </c:pt>
                <c:pt idx="2">
                  <c:v>K - 12</c:v>
                </c:pt>
              </c:strCache>
            </c:strRef>
          </c:cat>
          <c:val>
            <c:numRef>
              <c:f>Delaware!$L$5:$L$7</c:f>
              <c:numCache>
                <c:formatCode>_("$"* #,##0_);_("$"* \(#,##0\);_("$"* "-"??_);_(@_)</c:formatCode>
                <c:ptCount val="3"/>
                <c:pt idx="0">
                  <c:v>1329.7448691879631</c:v>
                </c:pt>
                <c:pt idx="1">
                  <c:v>1605.5364635203091</c:v>
                </c:pt>
                <c:pt idx="2">
                  <c:v>1956.3737955893441</c:v>
                </c:pt>
              </c:numCache>
            </c:numRef>
          </c:val>
          <c:extLst>
            <c:ext xmlns:c16="http://schemas.microsoft.com/office/drawing/2014/chart" uri="{C3380CC4-5D6E-409C-BE32-E72D297353CC}">
              <c16:uniqueId val="{00000000-9298-435B-B406-211AF668E950}"/>
            </c:ext>
          </c:extLst>
        </c:ser>
        <c:ser>
          <c:idx val="1"/>
          <c:order val="1"/>
          <c:tx>
            <c:strRef>
              <c:f>Delaware!$M$4</c:f>
              <c:strCache>
                <c:ptCount val="1"/>
                <c:pt idx="0">
                  <c:v>State and Local Dollars</c:v>
                </c:pt>
              </c:strCache>
            </c:strRef>
          </c:tx>
          <c:spPr>
            <a:solidFill>
              <a:srgbClr val="42B4E5">
                <a:lumMod val="40000"/>
                <a:lumOff val="60000"/>
              </a:srgbClr>
            </a:solidFill>
            <a:ln>
              <a:noFill/>
            </a:ln>
            <a:effectLst/>
          </c:spPr>
          <c:invertIfNegative val="0"/>
          <c:cat>
            <c:strRef>
              <c:f>Delaware!$K$5:$K$7</c:f>
              <c:strCache>
                <c:ptCount val="3"/>
                <c:pt idx="0">
                  <c:v>0 to 3</c:v>
                </c:pt>
                <c:pt idx="1">
                  <c:v>3 to 5.5</c:v>
                </c:pt>
                <c:pt idx="2">
                  <c:v>K - 12</c:v>
                </c:pt>
              </c:strCache>
            </c:strRef>
          </c:cat>
          <c:val>
            <c:numRef>
              <c:f>Delaware!$M$5:$M$7</c:f>
              <c:numCache>
                <c:formatCode>_("$"* #,##0_);_("$"* \(#,##0\);_("$"* "-"??_);_(@_)</c:formatCode>
                <c:ptCount val="3"/>
                <c:pt idx="0">
                  <c:v>1603.7054211934008</c:v>
                </c:pt>
                <c:pt idx="1">
                  <c:v>2178.4725786638055</c:v>
                </c:pt>
                <c:pt idx="2">
                  <c:v>15623.562754683715</c:v>
                </c:pt>
              </c:numCache>
            </c:numRef>
          </c:val>
          <c:extLst>
            <c:ext xmlns:c16="http://schemas.microsoft.com/office/drawing/2014/chart" uri="{C3380CC4-5D6E-409C-BE32-E72D297353CC}">
              <c16:uniqueId val="{00000001-9298-435B-B406-211AF668E950}"/>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Delaware!$N$5:$N$7</c:f>
              <c:numCache>
                <c:formatCode>_("$"* #,##0_);_("$"* \(#,##0\);_("$"* "-"??_);_(@_)</c:formatCode>
                <c:ptCount val="3"/>
                <c:pt idx="0">
                  <c:v>2933.4502903813636</c:v>
                </c:pt>
                <c:pt idx="1">
                  <c:v>3784.0090421841146</c:v>
                </c:pt>
                <c:pt idx="2">
                  <c:v>17579.936550273058</c:v>
                </c:pt>
              </c:numCache>
            </c:numRef>
          </c:val>
          <c:smooth val="0"/>
          <c:extLst>
            <c:ext xmlns:c16="http://schemas.microsoft.com/office/drawing/2014/chart" uri="{C3380CC4-5D6E-409C-BE32-E72D297353CC}">
              <c16:uniqueId val="{00000002-9298-435B-B406-211AF668E950}"/>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32852</xdr:rowOff>
    </xdr:from>
    <xdr:to>
      <xdr:col>15</xdr:col>
      <xdr:colOff>590201</xdr:colOff>
      <xdr:row>29</xdr:row>
      <xdr:rowOff>127351</xdr:rowOff>
    </xdr:to>
    <xdr:graphicFrame macro="">
      <xdr:nvGraphicFramePr>
        <xdr:cNvPr id="2" name="Chart 1">
          <a:extLst>
            <a:ext uri="{FF2B5EF4-FFF2-40B4-BE49-F238E27FC236}">
              <a16:creationId xmlns:a16="http://schemas.microsoft.com/office/drawing/2014/main" id="{087E0766-B172-44C3-AF76-FD9453FBEE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budget.delaware.gov/budget/fy2026/documents/operating/budget-book.pdf"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BBC23-2B27-4641-9133-4572F995C97E}">
  <sheetPr codeName="Sheet9">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1329.7448691879631</v>
      </c>
      <c r="M5" s="38">
        <f>H85/P5</f>
        <v>1603.7054211934008</v>
      </c>
      <c r="N5" s="38">
        <f>SUM(L5:M5)</f>
        <v>2933.4502903813636</v>
      </c>
      <c r="O5" s="39">
        <f>N5/N7</f>
        <v>0.166863531161937</v>
      </c>
      <c r="P5" s="40">
        <v>33442</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38046898.82</v>
      </c>
      <c r="D6" s="38">
        <f>H36</f>
        <v>115947200</v>
      </c>
      <c r="E6" s="38">
        <v>54301804.250470348</v>
      </c>
      <c r="F6" s="38">
        <v>51570188.198693834</v>
      </c>
      <c r="G6" s="43">
        <v>48122106.370835818</v>
      </c>
      <c r="H6" s="44">
        <f>SUM(E6:G6)</f>
        <v>153994098.81999999</v>
      </c>
      <c r="I6" s="7"/>
      <c r="J6" s="7"/>
      <c r="K6" s="37" t="s">
        <v>16</v>
      </c>
      <c r="L6" s="38">
        <v>1605.5364635203091</v>
      </c>
      <c r="M6" s="38">
        <f>H86/P6</f>
        <v>2178.4725786638055</v>
      </c>
      <c r="N6" s="38">
        <f t="shared" ref="N6" si="0">SUM(L6:M6)</f>
        <v>3784.0090421841146</v>
      </c>
      <c r="O6" s="39">
        <f>N6/N7</f>
        <v>0.21524588734225777</v>
      </c>
      <c r="P6" s="40">
        <v>28955</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5187200</v>
      </c>
      <c r="E7" s="38">
        <v>0</v>
      </c>
      <c r="F7" s="38">
        <f>D7</f>
        <v>5187200</v>
      </c>
      <c r="G7" s="45">
        <v>0</v>
      </c>
      <c r="H7" s="44">
        <f t="shared" ref="H7:H14" si="1">SUM(E7:G7)</f>
        <v>5187200</v>
      </c>
      <c r="I7" s="7"/>
      <c r="J7" s="7"/>
      <c r="K7" s="46" t="s">
        <v>17</v>
      </c>
      <c r="L7" s="47">
        <v>1956.3737955893441</v>
      </c>
      <c r="M7" s="47">
        <f>(H87+D13)/P7</f>
        <v>15623.562754683715</v>
      </c>
      <c r="N7" s="47">
        <f>SUM(L7:M7)</f>
        <v>17579.936550273058</v>
      </c>
      <c r="O7" s="48">
        <f>N7/N7</f>
        <v>1</v>
      </c>
      <c r="P7" s="49">
        <v>158119</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4028692</v>
      </c>
      <c r="D8" s="38">
        <f>H53</f>
        <v>183500</v>
      </c>
      <c r="E8" s="38">
        <f>(C8+D8)*0.86</f>
        <v>3622485.12</v>
      </c>
      <c r="F8" s="38">
        <f>(C8+D8)*0.14</f>
        <v>589706.88</v>
      </c>
      <c r="G8" s="45">
        <v>0</v>
      </c>
      <c r="H8" s="44">
        <f t="shared" si="1"/>
        <v>4212192</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3975629</v>
      </c>
      <c r="D9" s="38">
        <f>H64</f>
        <v>31623600</v>
      </c>
      <c r="E9" s="38">
        <f>C65+H65</f>
        <v>15175423.000000002</v>
      </c>
      <c r="F9" s="38">
        <f>C66+H66</f>
        <v>20423806</v>
      </c>
      <c r="G9" s="45">
        <v>0</v>
      </c>
      <c r="H9" s="44">
        <f t="shared" si="1"/>
        <v>35599229</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139272801.8657645</v>
      </c>
      <c r="N10" s="57" t="s">
        <v>26</v>
      </c>
      <c r="O10" s="58"/>
      <c r="P10" s="59">
        <f>M11-M10</f>
        <v>68728886.202129304</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208001688.0678938</v>
      </c>
      <c r="N11" s="63" t="s">
        <v>29</v>
      </c>
      <c r="O11" s="64"/>
      <c r="P11" s="65">
        <f>P10/M10</f>
        <v>0.49348390555373733</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290774840.58140594</v>
      </c>
      <c r="D13" s="66">
        <v>2434149409.4185944</v>
      </c>
      <c r="E13" s="66">
        <v>0</v>
      </c>
      <c r="F13" s="66">
        <v>0</v>
      </c>
      <c r="G13" s="67">
        <f>C13+D13</f>
        <v>2724924250.0000005</v>
      </c>
      <c r="H13" s="44">
        <f t="shared" si="1"/>
        <v>2724924250.0000005</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63807443</v>
      </c>
      <c r="D14" s="70">
        <v>0</v>
      </c>
      <c r="E14" s="70">
        <f>C80</f>
        <v>25163668.24849328</v>
      </c>
      <c r="F14" s="70">
        <f>C81</f>
        <v>31967406.370236345</v>
      </c>
      <c r="G14" s="71">
        <f>C82</f>
        <v>6676368.3812703788</v>
      </c>
      <c r="H14" s="44">
        <f t="shared" si="1"/>
        <v>63807443</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400633503.40140593</v>
      </c>
      <c r="D15" s="74">
        <f>SUM(D6:D14)</f>
        <v>2587090909.4185944</v>
      </c>
      <c r="E15" s="74">
        <f>SUM(E6:E14)</f>
        <v>98263380.618963629</v>
      </c>
      <c r="F15" s="74">
        <f>SUM(F6:F14)</f>
        <v>109738307.44893017</v>
      </c>
      <c r="G15" s="75">
        <f>SUM(G6:G14)</f>
        <v>2779722724.7521067</v>
      </c>
      <c r="H15" s="76">
        <f>IF(SUM(H6:H14)=C15+D15, SUM(H6:H14), "Sums Do Not Match")</f>
        <v>2987724412.8200006</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33328501</v>
      </c>
      <c r="D22" s="105"/>
      <c r="E22" s="106" t="s">
        <v>40</v>
      </c>
      <c r="F22" s="107"/>
      <c r="G22" s="108"/>
      <c r="H22" s="109">
        <v>65888700</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42</v>
      </c>
      <c r="B23" s="111"/>
      <c r="C23" s="112"/>
      <c r="D23" s="113">
        <v>9295219</v>
      </c>
      <c r="E23" s="114" t="s">
        <v>43</v>
      </c>
      <c r="F23" s="115"/>
      <c r="G23" s="116"/>
      <c r="H23" s="117">
        <v>38210900</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44</v>
      </c>
      <c r="B24" s="119"/>
      <c r="C24" s="120">
        <v>811339</v>
      </c>
      <c r="D24" s="121"/>
      <c r="E24" s="114" t="s">
        <v>45</v>
      </c>
      <c r="F24" s="122"/>
      <c r="G24" s="116"/>
      <c r="H24" s="117">
        <f>(2968.4+145+105+3285.1)*1000</f>
        <v>6503500</v>
      </c>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46</v>
      </c>
      <c r="B25" s="119"/>
      <c r="C25" s="120">
        <v>3907058.8200000003</v>
      </c>
      <c r="D25" s="121"/>
      <c r="E25" s="123" t="s">
        <v>47</v>
      </c>
      <c r="F25" s="124"/>
      <c r="G25" s="116"/>
      <c r="H25" s="117">
        <v>5344100</v>
      </c>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48</v>
      </c>
      <c r="B26" s="119"/>
      <c r="C26" s="125"/>
      <c r="D26" s="126">
        <v>39328523.000000007</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38046898.82</v>
      </c>
      <c r="D36" s="143">
        <f>SUM(D22:D35)</f>
        <v>48623742.000000007</v>
      </c>
      <c r="E36" s="144" t="s">
        <v>18</v>
      </c>
      <c r="F36" s="145"/>
      <c r="G36" s="146">
        <f>SUM(G22:G35)</f>
        <v>0</v>
      </c>
      <c r="H36" s="147">
        <f>SUM(H22:H35)</f>
        <v>115947200</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13416197.554920638</v>
      </c>
      <c r="D37" s="151">
        <v>17145831.822397452</v>
      </c>
      <c r="E37" s="152" t="s">
        <v>15</v>
      </c>
      <c r="F37" s="150"/>
      <c r="G37" s="153">
        <v>0</v>
      </c>
      <c r="H37" s="154">
        <v>40885606.695549712</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12741304.683483342</v>
      </c>
      <c r="D38" s="151">
        <v>16283322.186233463</v>
      </c>
      <c r="E38" s="152" t="s">
        <v>16</v>
      </c>
      <c r="F38" s="150"/>
      <c r="G38" s="153">
        <v>0</v>
      </c>
      <c r="H38" s="154">
        <v>38828883.515210494</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11889396.581596022</v>
      </c>
      <c r="D39" s="151">
        <v>15194587.991369095</v>
      </c>
      <c r="E39" s="152" t="s">
        <v>17</v>
      </c>
      <c r="F39" s="150"/>
      <c r="G39" s="153">
        <v>0</v>
      </c>
      <c r="H39" s="154">
        <v>36232709.789239801</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49</v>
      </c>
      <c r="B41" s="158"/>
      <c r="C41" s="159"/>
      <c r="D41" s="160">
        <v>14550750</v>
      </c>
      <c r="E41" s="161" t="s">
        <v>50</v>
      </c>
      <c r="F41" s="162"/>
      <c r="G41" s="108"/>
      <c r="H41" s="163">
        <f>5187.2*1000</f>
        <v>5187200</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c r="F42" s="169"/>
      <c r="G42" s="170"/>
      <c r="H42" s="171"/>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14550750</v>
      </c>
      <c r="E46" s="144" t="s">
        <v>18</v>
      </c>
      <c r="F46" s="145"/>
      <c r="G46" s="146">
        <f>SUM(G41:G45)</f>
        <v>0</v>
      </c>
      <c r="H46" s="147">
        <f>SUM($H$41:$H$45)</f>
        <v>5187200</v>
      </c>
      <c r="I46" s="187"/>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8" t="s">
        <v>16</v>
      </c>
      <c r="B47" s="189"/>
      <c r="C47" s="190">
        <f>C46</f>
        <v>0</v>
      </c>
      <c r="D47" s="190">
        <f>D46</f>
        <v>14550750</v>
      </c>
      <c r="E47" s="152" t="s">
        <v>16</v>
      </c>
      <c r="F47" s="150"/>
      <c r="G47" s="153">
        <f>G46</f>
        <v>0</v>
      </c>
      <c r="H47" s="191">
        <f>H46</f>
        <v>5187200</v>
      </c>
      <c r="I47" s="187"/>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2" t="s">
        <v>51</v>
      </c>
      <c r="B48" s="193"/>
      <c r="C48" s="193"/>
      <c r="D48" s="194"/>
      <c r="E48" s="156" t="s">
        <v>52</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5" t="s">
        <v>53</v>
      </c>
      <c r="B49" s="196"/>
      <c r="C49" s="112">
        <v>4028692</v>
      </c>
      <c r="D49" s="197"/>
      <c r="E49" s="198" t="s">
        <v>54</v>
      </c>
      <c r="F49" s="199"/>
      <c r="G49" s="200"/>
      <c r="H49" s="109">
        <v>53500</v>
      </c>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55</v>
      </c>
      <c r="B50" s="202"/>
      <c r="C50" s="120">
        <v>0</v>
      </c>
      <c r="D50" s="121"/>
      <c r="E50" s="123" t="s">
        <v>56</v>
      </c>
      <c r="F50" s="203"/>
      <c r="G50" s="116"/>
      <c r="H50" s="117">
        <f>130000</f>
        <v>130000</v>
      </c>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57</v>
      </c>
      <c r="B51" s="202"/>
      <c r="C51" s="120"/>
      <c r="D51" s="204">
        <v>0</v>
      </c>
      <c r="E51" s="123"/>
      <c r="F51" s="203"/>
      <c r="G51" s="116"/>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6"/>
      <c r="B52" s="207"/>
      <c r="C52" s="208"/>
      <c r="D52" s="209"/>
      <c r="E52" s="182"/>
      <c r="F52" s="183"/>
      <c r="G52" s="138"/>
      <c r="H52" s="210"/>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4028692</v>
      </c>
      <c r="D53" s="143">
        <f>SUM($D$49:$D$52)</f>
        <v>0</v>
      </c>
      <c r="E53" s="144" t="s">
        <v>18</v>
      </c>
      <c r="F53" s="145"/>
      <c r="G53" s="146">
        <f>SUM($G$49:$G$52)</f>
        <v>0</v>
      </c>
      <c r="H53" s="147">
        <f>SUM($H$49:$H$52)</f>
        <v>183500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90">
        <f>C$53*0.86</f>
        <v>3464675.12</v>
      </c>
      <c r="D54" s="190">
        <f>D$53*0.86</f>
        <v>0</v>
      </c>
      <c r="E54" s="152" t="s">
        <v>15</v>
      </c>
      <c r="F54" s="150"/>
      <c r="G54" s="153">
        <f>G$53*0.86</f>
        <v>0</v>
      </c>
      <c r="H54" s="191">
        <f>H$53*0.86</f>
        <v>157810</v>
      </c>
      <c r="I54" s="4"/>
      <c r="J54" s="4"/>
      <c r="K54" s="4"/>
      <c r="L54" s="4"/>
      <c r="M54" s="4"/>
      <c r="N54" s="4"/>
      <c r="O54" s="4"/>
      <c r="P54" s="4"/>
      <c r="Q54" s="4"/>
      <c r="R54" s="4"/>
      <c r="S54" s="4"/>
      <c r="T54" s="4"/>
      <c r="U54" s="4"/>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90">
        <f>C$53*0.14</f>
        <v>564016.88</v>
      </c>
      <c r="D55" s="190">
        <f>D$53*0.14</f>
        <v>0</v>
      </c>
      <c r="E55" s="152" t="s">
        <v>16</v>
      </c>
      <c r="F55" s="150"/>
      <c r="G55" s="153">
        <f>G$53*0.14</f>
        <v>0</v>
      </c>
      <c r="H55" s="191">
        <f>H$53*0.14</f>
        <v>25690.000000000004</v>
      </c>
      <c r="I55" s="4"/>
      <c r="J55" s="4"/>
      <c r="K55" s="4"/>
      <c r="L55" s="4"/>
      <c r="M55" s="4"/>
      <c r="N55" s="4"/>
      <c r="O55" s="4"/>
      <c r="P55" s="4"/>
      <c r="Q55" s="4"/>
      <c r="R55" s="4"/>
      <c r="S55" s="4"/>
      <c r="T55" s="4"/>
      <c r="U55" s="4"/>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58</v>
      </c>
      <c r="B56" s="97"/>
      <c r="C56" s="97"/>
      <c r="D56" s="155"/>
      <c r="E56" s="156" t="s">
        <v>59</v>
      </c>
      <c r="F56" s="100"/>
      <c r="G56" s="100"/>
      <c r="H56" s="101"/>
      <c r="I56" s="4"/>
      <c r="J56" s="4"/>
      <c r="K56" s="4"/>
      <c r="L56" s="4"/>
      <c r="M56" s="4"/>
      <c r="N56" s="4"/>
      <c r="O56" s="4"/>
      <c r="P56" s="4"/>
      <c r="Q56" s="4"/>
      <c r="R56" s="4"/>
      <c r="S56" s="4"/>
      <c r="T56" s="4"/>
      <c r="U56" s="4"/>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1" t="s">
        <v>58</v>
      </c>
      <c r="B57" s="212"/>
      <c r="C57" s="112">
        <v>2587723</v>
      </c>
      <c r="D57" s="197"/>
      <c r="E57" s="198" t="s">
        <v>60</v>
      </c>
      <c r="F57" s="199"/>
      <c r="G57" s="108"/>
      <c r="H57" s="109">
        <v>2908500</v>
      </c>
      <c r="I57" s="4"/>
      <c r="J57" s="4"/>
      <c r="K57" s="4"/>
      <c r="L57" s="4"/>
      <c r="M57" s="4"/>
      <c r="N57" s="4"/>
      <c r="O57" s="4"/>
      <c r="P57" s="4"/>
      <c r="Q57" s="4"/>
      <c r="R57" s="4"/>
      <c r="S57" s="4"/>
      <c r="T57" s="4"/>
      <c r="U57" s="4"/>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123" t="s">
        <v>61</v>
      </c>
      <c r="F58" s="203"/>
      <c r="G58" s="116"/>
      <c r="H58" s="117">
        <f>(9430.7+133.1)*1000</f>
        <v>9563800.0000000019</v>
      </c>
      <c r="I58" s="4"/>
      <c r="J58" s="4"/>
      <c r="K58" s="4"/>
      <c r="L58" s="4"/>
      <c r="M58" s="4"/>
      <c r="N58" s="4"/>
      <c r="O58" s="4"/>
      <c r="P58" s="4"/>
      <c r="Q58" s="4"/>
      <c r="R58" s="4"/>
      <c r="S58" s="4"/>
      <c r="T58" s="4"/>
      <c r="U58" s="4"/>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3"/>
      <c r="B59" s="214"/>
      <c r="C59" s="208"/>
      <c r="D59" s="209"/>
      <c r="E59" s="182" t="s">
        <v>62</v>
      </c>
      <c r="F59" s="183"/>
      <c r="G59" s="138"/>
      <c r="H59" s="139">
        <f>1000*115.4</f>
        <v>115400</v>
      </c>
      <c r="I59" s="4"/>
      <c r="J59" s="4"/>
      <c r="K59" s="4"/>
      <c r="L59" s="4"/>
      <c r="M59" s="4"/>
      <c r="N59" s="4"/>
      <c r="O59" s="4"/>
      <c r="P59" s="4"/>
      <c r="Q59" s="4"/>
      <c r="R59" s="4"/>
      <c r="S59" s="4"/>
      <c r="T59" s="4"/>
      <c r="U59" s="4"/>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63</v>
      </c>
      <c r="B60" s="97"/>
      <c r="C60" s="97"/>
      <c r="D60" s="155"/>
      <c r="E60" s="156" t="s">
        <v>64</v>
      </c>
      <c r="F60" s="100"/>
      <c r="G60" s="100"/>
      <c r="H60" s="215"/>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1" t="s">
        <v>63</v>
      </c>
      <c r="B61" s="212"/>
      <c r="C61" s="216">
        <v>1387906</v>
      </c>
      <c r="D61" s="197"/>
      <c r="E61" s="217" t="s">
        <v>65</v>
      </c>
      <c r="F61" s="218"/>
      <c r="G61" s="108"/>
      <c r="H61" s="109">
        <f>35.9*1000</f>
        <v>35900</v>
      </c>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123" t="s">
        <v>66</v>
      </c>
      <c r="F62" s="203"/>
      <c r="G62" s="116"/>
      <c r="H62" s="117">
        <v>19000000</v>
      </c>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3"/>
      <c r="B63" s="214"/>
      <c r="C63" s="208"/>
      <c r="D63" s="209"/>
      <c r="E63" s="219"/>
      <c r="F63" s="220"/>
      <c r="G63" s="138"/>
      <c r="H63" s="210"/>
      <c r="I63" s="187"/>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1" t="s">
        <v>18</v>
      </c>
      <c r="B64" s="145"/>
      <c r="C64" s="222">
        <f>SUM($C$65:$C$66)</f>
        <v>3975629</v>
      </c>
      <c r="D64" s="222">
        <f>SUM($D$65:$D$66)</f>
        <v>0</v>
      </c>
      <c r="E64" s="144" t="s">
        <v>18</v>
      </c>
      <c r="F64" s="145"/>
      <c r="G64" s="223">
        <f>SUM(G65:G66)</f>
        <v>0</v>
      </c>
      <c r="H64" s="147">
        <f>SUM(H65:H66)</f>
        <v>31623600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4">
        <f>SUM($C$57:$C$59)</f>
        <v>2587723</v>
      </c>
      <c r="D65" s="224">
        <f>SUM($D$57:$D$59)</f>
        <v>0</v>
      </c>
      <c r="E65" s="152" t="s">
        <v>15</v>
      </c>
      <c r="F65" s="150"/>
      <c r="G65" s="224">
        <f>SUM(G57:G59)</f>
        <v>0</v>
      </c>
      <c r="H65" s="191">
        <f>SUM(H57:H59)</f>
        <v>12587700.000000002</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4">
        <f>SUM($C$61:$C$63)</f>
        <v>1387906</v>
      </c>
      <c r="D66" s="224">
        <f>SUM($D$61:$D$63)</f>
        <v>0</v>
      </c>
      <c r="E66" s="152" t="s">
        <v>16</v>
      </c>
      <c r="F66" s="150"/>
      <c r="G66" s="153">
        <f>SUM(G61:G63)</f>
        <v>0</v>
      </c>
      <c r="H66" s="191">
        <f>SUM(H61:H63)</f>
        <v>19035900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67</v>
      </c>
      <c r="B67" s="97"/>
      <c r="C67" s="97"/>
      <c r="D67" s="155"/>
      <c r="E67" s="156" t="s">
        <v>68</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1" t="s">
        <v>69</v>
      </c>
      <c r="B68" s="212"/>
      <c r="C68" s="112">
        <v>8237576</v>
      </c>
      <c r="D68" s="197"/>
      <c r="E68" s="198"/>
      <c r="F68" s="225"/>
      <c r="G68" s="226"/>
      <c r="H68" s="227"/>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70</v>
      </c>
      <c r="B69" s="202"/>
      <c r="C69" s="120">
        <v>16252367</v>
      </c>
      <c r="D69" s="121"/>
      <c r="E69" s="123"/>
      <c r="F69" s="203"/>
      <c r="G69" s="116"/>
      <c r="H69" s="205"/>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71</v>
      </c>
      <c r="B70" s="202"/>
      <c r="C70" s="120">
        <v>8000000</v>
      </c>
      <c r="D70" s="121"/>
      <c r="E70" s="182"/>
      <c r="F70" s="183"/>
      <c r="G70" s="138"/>
      <c r="H70" s="210"/>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72</v>
      </c>
      <c r="B71" s="202"/>
      <c r="C71" s="228">
        <v>12914000</v>
      </c>
      <c r="D71" s="121"/>
      <c r="E71" s="156" t="s">
        <v>73</v>
      </c>
      <c r="F71" s="100"/>
      <c r="G71" s="100"/>
      <c r="H71" s="215"/>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74</v>
      </c>
      <c r="B72" s="202"/>
      <c r="C72" s="112">
        <v>17903500</v>
      </c>
      <c r="D72" s="121"/>
      <c r="E72" s="198"/>
      <c r="F72" s="199"/>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75</v>
      </c>
      <c r="B73" s="111"/>
      <c r="C73" s="125">
        <v>500000</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76</v>
      </c>
      <c r="B74" s="202"/>
      <c r="C74" s="125"/>
      <c r="D74" s="229">
        <v>0</v>
      </c>
      <c r="E74" s="182"/>
      <c r="F74" s="183"/>
      <c r="G74" s="138"/>
      <c r="H74" s="210"/>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29"/>
      <c r="E75" s="156" t="s">
        <v>77</v>
      </c>
      <c r="F75" s="100"/>
      <c r="G75" s="100"/>
      <c r="H75" s="215"/>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29"/>
      <c r="E76" s="198"/>
      <c r="F76" s="225"/>
      <c r="G76" s="226"/>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6"/>
      <c r="B78" s="207"/>
      <c r="C78" s="208"/>
      <c r="D78" s="209"/>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1" t="s">
        <v>18</v>
      </c>
      <c r="B79" s="145"/>
      <c r="C79" s="222">
        <f>SUM(C68:C78)</f>
        <v>63807443</v>
      </c>
      <c r="D79" s="238">
        <f>SUM(D68:D78)</f>
        <v>0</v>
      </c>
      <c r="E79" s="144" t="s">
        <v>18</v>
      </c>
      <c r="F79" s="145"/>
      <c r="G79" s="146">
        <f>SUM(G80:G81)</f>
        <v>0</v>
      </c>
      <c r="H79" s="147">
        <f>SUM(H80:H81)</f>
        <v>0</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4">
        <v>25163668.24849328</v>
      </c>
      <c r="D80" s="224">
        <v>0</v>
      </c>
      <c r="E80" s="152" t="s">
        <v>15</v>
      </c>
      <c r="F80" s="150"/>
      <c r="G80" s="153">
        <v>0</v>
      </c>
      <c r="H80" s="154">
        <v>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31967406.370236345</v>
      </c>
      <c r="D81" s="242">
        <f>D79</f>
        <v>0</v>
      </c>
      <c r="E81" s="152" t="s">
        <v>16</v>
      </c>
      <c r="F81" s="150"/>
      <c r="G81" s="153">
        <v>0</v>
      </c>
      <c r="H81" s="243">
        <v>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78</v>
      </c>
      <c r="B82" s="241"/>
      <c r="C82" s="242">
        <f>C79-SUM(C80:C81)</f>
        <v>6676368.3812703788</v>
      </c>
      <c r="D82" s="242">
        <v>0</v>
      </c>
      <c r="E82" s="244" t="s">
        <v>78</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79</v>
      </c>
      <c r="B83" s="249"/>
      <c r="C83" s="250" t="s">
        <v>37</v>
      </c>
      <c r="D83" s="250" t="s">
        <v>38</v>
      </c>
      <c r="E83" s="251" t="s">
        <v>80</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91292897.857133597</v>
      </c>
      <c r="D84" s="258">
        <f>SUM(D85:D86)</f>
        <v>47979904.008630916</v>
      </c>
      <c r="E84" s="259"/>
      <c r="F84" s="260"/>
      <c r="G84" s="261">
        <f>SUM(G85:G86)</f>
        <v>0</v>
      </c>
      <c r="H84" s="262">
        <f>SUM(H85:H86)</f>
        <v>116708790.21076021</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90">
        <f>SUM(C37,C54,C65,C80)</f>
        <v>44632263.923413917</v>
      </c>
      <c r="D85" s="190">
        <f>SUM(D37,D54,D65,D80)</f>
        <v>17145831.822397452</v>
      </c>
      <c r="E85" s="265" t="s">
        <v>15</v>
      </c>
      <c r="F85" s="266"/>
      <c r="G85" s="153">
        <f>SUM(G37,G54,G65,G80)</f>
        <v>0</v>
      </c>
      <c r="H85" s="267">
        <f>SUM(H37,H54,H65,H80)</f>
        <v>53631116.695549712</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46660633.933719687</v>
      </c>
      <c r="D86" s="151">
        <f>SUM(D38,D47,D55,D66,D81)</f>
        <v>30834072.186233461</v>
      </c>
      <c r="E86" s="152" t="s">
        <v>16</v>
      </c>
      <c r="F86" s="150"/>
      <c r="G86" s="153">
        <f>SUM(G38,G47,G55,G66,G81)</f>
        <v>0</v>
      </c>
      <c r="H86" s="154">
        <f>SUM(H38,H47,H55,H66,H81)</f>
        <v>63077673.515210494</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78</v>
      </c>
      <c r="B87" s="270"/>
      <c r="C87" s="271">
        <f>SUM(C39,C82)</f>
        <v>18565764.962866403</v>
      </c>
      <c r="D87" s="271">
        <f>SUM(D39)</f>
        <v>15194587.991369095</v>
      </c>
      <c r="E87" s="272" t="s">
        <v>78</v>
      </c>
      <c r="F87" s="270"/>
      <c r="G87" s="271">
        <f>SUM(G39)</f>
        <v>0</v>
      </c>
      <c r="H87" s="273">
        <f>SUM(H39)</f>
        <v>36232709.789239801</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81</v>
      </c>
      <c r="B88" s="275" t="s">
        <v>82</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83</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84</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85</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86</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87</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88</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89</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90</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91</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92</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93</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94</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95</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96</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wmyTFlzD8yVSAZQaie8CuvEW6CNR2LJph88CN3GSO7mHwBzGabMPj17upRPzuRrlxgckiTsWWMHgMtciutRfrg==" saltValue="mtBgyRKSP7lkln0rYKQO6g=="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248B86DA-F44A-4C77-8A10-1DB7CC89D4F3}"/>
    <hyperlink ref="B101" r:id="rId2" location="Fiscal:1,Page:1" xr:uid="{DB2C619D-DE88-4BAE-BF71-7033C8FACCB6}"/>
    <hyperlink ref="A2" location="Index!A1" display="Back to Index" xr:uid="{22BA963A-10AE-4B6B-9B90-15FA52A66D0E}"/>
    <hyperlink ref="B88" r:id="rId3" xr:uid="{6369D1E4-B2AD-4397-A97C-69C34BCFAE4D}"/>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C823F21E-530B-4E1D-8D68-71316E2D6128}"/>
</file>

<file path=customXml/itemProps2.xml><?xml version="1.0" encoding="utf-8"?>
<ds:datastoreItem xmlns:ds="http://schemas.openxmlformats.org/officeDocument/2006/customXml" ds:itemID="{6969E9A3-711A-4CD4-A3BF-82567D9143AF}"/>
</file>

<file path=customXml/itemProps3.xml><?xml version="1.0" encoding="utf-8"?>
<ds:datastoreItem xmlns:ds="http://schemas.openxmlformats.org/officeDocument/2006/customXml" ds:itemID="{846015BF-9F9D-448A-A57B-41215028B5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Delaware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2026-09-28T16:04:53Z</dcterms:created>
  <dcterms:modified xsi:type="dcterms:W3CDTF">2026-09-28T16:04:54Z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